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20"/>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Т-пит'!$254:$255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Т-пит'!$256:$257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тарифов'!$79:$163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тарифов'!$165:$179</definedName>
    <definedName name="BLOCK_PT_VOTV">'Перечень тарифов'!$181:$195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территорий'!$E$76:$I$76</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тарифов'!$Z$12:$Z$197</definedName>
    <definedName name="DIFFERENTIATION_TARIFF_VD_ID">'Перечень тарифов'!$AB$12:$AB$197</definedName>
    <definedName name="DIFFERENTIATION_TARIFF_VTAR_ID">'Перечень тарифов'!$AA$12:$AA$197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территорий'!$C$12:$C$76</definedName>
    <definedName name="pDel_LT_MO">'Список территорий'!$D$11:$D$76</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территорий'!$G$76</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Т-пит'!$T$253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Т-пит'!$CN$37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тарифов'!$AL$12:$AL$197</definedName>
    <definedName name="PT_DIFFERENTIATION_CS_ID">'Перечень тарифов'!$AF$12:$AF$197</definedName>
    <definedName name="PT_DIFFERENTIATION_IST_TE">'Перечень тарифов'!$AM$12:$AM$197</definedName>
    <definedName name="PT_DIFFERENTIATION_IST_TE_ID">'Перечень тарифов'!$AG$12:$AG$197</definedName>
    <definedName name="PT_DIFFERENTIATION_NTAR">'Перечень тарифов'!$AJ$12:$AJ$197</definedName>
    <definedName name="PT_DIFFERENTIATION_NTAR_ID">'Перечень тарифов'!$AD$12:$AD$197</definedName>
    <definedName name="PT_DIFFERENTIATION_NUM_CS">'Перечень тарифов'!$AP$12:$AP$197</definedName>
    <definedName name="PT_DIFFERENTIATION_NUM_IST_TE">'Перечень тарифов'!$AQ$12:$AQ$197</definedName>
    <definedName name="PT_DIFFERENTIATION_NUM_NTAR">'Перечень тарифов'!$AN$12:$AN$197</definedName>
    <definedName name="PT_DIFFERENTIATION_NUM_TER">'Перечень тарифов'!$AO$12:$AO$197</definedName>
    <definedName name="PT_DIFFERENTIATION_TER">'Перечень тарифов'!$AK$12:$AK$197</definedName>
    <definedName name="PT_DIFFERENTIATION_TER_ID">'Перечень тарифов'!$AE$12:$AE$197</definedName>
    <definedName name="PT_DIFFERENTIATION_VDET">'Перечень тарифов'!$AI$12:$AI$197</definedName>
    <definedName name="PT_DIFFERENTIATION_VTAR">'Перечень тарифов'!$AH$12:$AH$197</definedName>
    <definedName name="PT_DIFFERENTIATION_VTAR_ID">'Перечень тарифов'!$AC$12:$AC$197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Т-пит'!$41:$252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тарифов'!$W$196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Т-пит'!$CN$254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территорий'!$I$77</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территорий'!$E$11:$I$76</definedName>
    <definedName name="TERRITORY_ID">TEHSHEET!$E$56</definedName>
    <definedName name="TERRITORY_LIST_ID">'Список территорий'!$F$11:$F$76</definedName>
    <definedName name="TERRITORY_MO_LIST">'Список территорий'!$H$11:$H$76</definedName>
    <definedName name="TERRITORY_MR_LIST">'Список территорий'!$G$11:$G$76</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ter_1">'Список территорий'!$G$13:$I$14</definedName>
    <definedName name="ter_5">'Список территорий'!$G$17:$I$17</definedName>
    <definedName name="ter_51">'Список территорий'!$G$20:$I$20</definedName>
    <definedName name="ter_511">'Список территорий'!$G$23:$I$23</definedName>
    <definedName name="ter_5111">'Список территорий'!$G$26:$I$26</definedName>
    <definedName name="ter_51111">'Список территорий'!$G$29:$I$29</definedName>
    <definedName name="ter_511111">'Список территорий'!$G$32:$I$32</definedName>
    <definedName name="ter_5111111">'Список территорий'!$G$35:$I$35</definedName>
    <definedName name="ter_51111111">'Список территорий'!$G$38:$I$38</definedName>
    <definedName name="ter_511111111">'Список территорий'!$G$41:$I$41</definedName>
    <definedName name="ter_5111111111">'Список территорий'!$G$44:$I$44</definedName>
    <definedName name="ter_51111111111">'Список территорий'!$G$47:$I$47</definedName>
    <definedName name="ter_511111111111">'Список территорий'!$G$50:$I$50</definedName>
    <definedName name="ter_5111111111111">'Список территорий'!$G$53:$I$53</definedName>
    <definedName name="ter_51111111111111">'Список территорий'!$G$56:$I$56</definedName>
    <definedName name="ter_511111111111111">'Список территорий'!$G$59:$I$59</definedName>
    <definedName name="ter_5111111111111111">'Список территорий'!$G$62:$I$62</definedName>
    <definedName name="ter_51111111111111111">'Список территорий'!$G$65:$I$65</definedName>
    <definedName name="ter_511111111111111111">'Список территорий'!$G$68:$I$68</definedName>
    <definedName name="ter_5111111111111111111">'Список территорий'!$G$71:$I$71</definedName>
    <definedName name="ter_51111111111111111111">'Список территорий'!$G$74:$I$74</definedName>
    <definedName name="pt_ter_30">'ХВС. Т-пит'!$52:$61</definedName>
    <definedName name="pt_cs_30">'ХВС. Т-пит'!$53:$60</definedName>
    <definedName name="pt_ter_31">'ХВС. Т-пит'!$62:$71</definedName>
    <definedName name="pt_cs_31">'ХВС. Т-пит'!$63:$70</definedName>
    <definedName name="pt_ter_32">'ХВС. Т-пит'!$72:$81</definedName>
    <definedName name="pt_cs_32">'ХВС. Т-пит'!$73:$80</definedName>
    <definedName name="pt_ter_33">'ХВС. Т-пит'!$82:$91</definedName>
    <definedName name="pt_cs_33">'ХВС. Т-пит'!$83:$90</definedName>
    <definedName name="pt_ter_34">'ХВС. Т-пит'!$92:$101</definedName>
    <definedName name="pt_cs_34">'ХВС. Т-пит'!$93:$100</definedName>
    <definedName name="pt_ter_35">'ХВС. Т-пит'!$102:$111</definedName>
    <definedName name="pt_cs_35">'ХВС. Т-пит'!$103:$110</definedName>
    <definedName name="pt_ter_36">'ХВС. Т-пит'!$112:$121</definedName>
    <definedName name="pt_cs_36">'ХВС. Т-пит'!$113:$120</definedName>
    <definedName name="pt_ter_37">'ХВС. Т-пит'!$122:$131</definedName>
    <definedName name="pt_cs_37">'ХВС. Т-пит'!$123:$130</definedName>
    <definedName name="pt_ter_38">'ХВС. Т-пит'!$132:$141</definedName>
    <definedName name="pt_cs_38">'ХВС. Т-пит'!$133:$140</definedName>
    <definedName name="pt_ter_39">'ХВС. Т-пит'!$142:$151</definedName>
    <definedName name="pt_cs_39">'ХВС. Т-пит'!$143:$150</definedName>
    <definedName name="pt_ter_40">'ХВС. Т-пит'!$152:$161</definedName>
    <definedName name="pt_cs_40">'ХВС. Т-пит'!$153:$160</definedName>
    <definedName name="pt_ter_41">'ХВС. Т-пит'!$162:$171</definedName>
    <definedName name="pt_cs_41">'ХВС. Т-пит'!$163:$170</definedName>
    <definedName name="pt_ter_42">'ХВС. Т-пит'!$172:$181</definedName>
    <definedName name="pt_cs_42">'ХВС. Т-пит'!$173:$180</definedName>
    <definedName name="pt_ter_43">'ХВС. Т-пит'!$182:$191</definedName>
    <definedName name="pt_cs_43">'ХВС. Т-пит'!$183:$190</definedName>
    <definedName name="pt_ter_44">'ХВС. Т-пит'!$192:$201</definedName>
    <definedName name="pt_cs_44">'ХВС. Т-пит'!$193:$200</definedName>
    <definedName name="pt_ter_45">'ХВС. Т-пит'!$202:$211</definedName>
    <definedName name="pt_cs_45">'ХВС. Т-пит'!$203:$210</definedName>
    <definedName name="pt_ter_46">'ХВС. Т-пит'!$212:$221</definedName>
    <definedName name="pt_cs_46">'ХВС. Т-пит'!$213:$220</definedName>
    <definedName name="pt_ter_47">'ХВС. Т-пит'!$222:$231</definedName>
    <definedName name="pt_cs_47">'ХВС. Т-пит'!$223:$230</definedName>
    <definedName name="pt_ter_48">'ХВС. Т-пит'!$232:$241</definedName>
    <definedName name="pt_cs_48">'ХВС. Т-пит'!$233:$240</definedName>
    <definedName name="pt_ter_49">'ХВС. Т-пит'!$242:$251</definedName>
    <definedName name="pt_cs_49">'ХВС. Т-пит'!$243:$250</definedName>
    <definedName name="pt_cs_50">'ХВС. Т-пит'!#REF!</definedName>
    <definedName name="pt_cs_51">'ХВС. Т-пит'!#REF!</definedName>
    <definedName name="DESCRIPTION_TERRITORY">REESTR_DS!$B$2:$B$22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<sst xmlns="http://schemas.openxmlformats.org/spreadsheetml/2006/main" count="15379" uniqueCount="3611">
  <si>
    <t xml:space="preserve"> (требуется обновление)</t>
  </si>
  <si>
    <t>Код отчёта: PP108.OPEN.INFO.REQUEST.COLDVSNA.EIAS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</si>
  <si>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</si>
  <si>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</si>
  <si>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</si>
  <si>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</si>
  <si>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</si>
  <si>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</si>
  <si>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</si>
  <si>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</si>
  <si>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</si>
  <si>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</si>
  <si>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</si>
  <si>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31343966</t>
  </si>
  <si>
    <t>Flag_Row_Size</t>
  </si>
  <si>
    <t>Субъект РФ</t>
  </si>
  <si>
    <t>Белгородская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</si>
  <si>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</si>
  <si>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</si>
  <si>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</si>
  <si>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</si>
  <si>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</si>
  <si>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</si>
  <si>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</si>
  <si>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</si>
  <si>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</si>
  <si>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</si>
  <si>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</si>
  <si>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</si>
  <si>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</si>
  <si>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</si>
  <si>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</si>
  <si>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</si>
  <si>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</si>
  <si>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</si>
  <si>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</si>
  <si>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</si>
  <si>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изменения в раскрытой ранее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</si>
  <si>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</si>
  <si>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</si>
  <si>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</si>
  <si>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1763</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</si>
  <si>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</si>
  <si>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</si>
  <si>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</si>
  <si>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29-12/1427</t>
  </si>
  <si>
    <t>Наименование органа регулирования, принявшего решение об изменении тарифов</t>
  </si>
  <si>
    <t>ГУП "Белоблводоканал"</t>
  </si>
  <si>
    <t>Наименование (описание) обособленного подразделения</t>
  </si>
  <si>
    <t>ИНН</t>
  </si>
  <si>
    <t>3123460476</t>
  </si>
  <si>
    <t>КПП</t>
  </si>
  <si>
    <t>312301001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</si>
  <si>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</si>
  <si>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</si>
  <si>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</si>
  <si>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</si>
  <si>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</si>
  <si>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</si>
  <si>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</si>
  <si>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</si>
  <si>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</si>
  <si>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</si>
  <si>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</si>
  <si>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</si>
  <si>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</si>
  <si>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</si>
  <si>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</si>
  <si>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</si>
  <si>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</si>
  <si>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308001, г. Белгород, ул. 3-го Интернационала, 40</t>
  </si>
  <si>
    <t>Фамилия, имя, отчество руководителя</t>
  </si>
  <si>
    <t>Колесников Андрей Владимирович</t>
  </si>
  <si>
    <t>Ответственный за заполнение формы</t>
  </si>
  <si>
    <t>Фамилия, имя, отчество</t>
  </si>
  <si>
    <t>Маркова Лариса Владимировна</t>
  </si>
  <si>
    <t>Должность</t>
  </si>
  <si>
    <t>Финансовый директор</t>
  </si>
  <si>
    <t>Контактный телефон</t>
  </si>
  <si>
    <t>(4722) 31-38-29</t>
  </si>
  <si>
    <t>E-mail</t>
  </si>
  <si>
    <t>markova_lv@belwater.ru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</si>
  <si>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</si>
  <si>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</si>
  <si>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</si>
  <si>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</si>
  <si>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</si>
  <si>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</si>
  <si>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</si>
  <si>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</si>
  <si>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</si>
  <si>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</si>
  <si>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</si>
  <si>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</si>
  <si>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</si>
  <si>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</si>
  <si>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</si>
  <si>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</si>
  <si>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</si>
  <si>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2</t>
  </si>
  <si>
    <t>Белгородский муниципальный район</t>
  </si>
  <si>
    <t>14610000</t>
  </si>
  <si>
    <t>×</t>
  </si>
  <si>
    <t>212</t>
  </si>
  <si>
    <t>город Белгород</t>
  </si>
  <si>
    <t>14701000</t>
  </si>
  <si>
    <t>Добавить МО</t>
  </si>
  <si>
    <t>ter_5</t>
  </si>
  <si>
    <t>1</t>
  </si>
  <si>
    <t>Алексеевский городской округ</t>
  </si>
  <si>
    <t>14710000</t>
  </si>
  <si>
    <t>ter_51</t>
  </si>
  <si>
    <t>30</t>
  </si>
  <si>
    <t>Борисовский район</t>
  </si>
  <si>
    <t>14615000</t>
  </si>
  <si>
    <t>ter_511</t>
  </si>
  <si>
    <t>38</t>
  </si>
  <si>
    <t>Валуйский городской округ</t>
  </si>
  <si>
    <t>14720000</t>
  </si>
  <si>
    <t>5</t>
  </si>
  <si>
    <t>ter_5111</t>
  </si>
  <si>
    <t>41</t>
  </si>
  <si>
    <t>Вейделевский муниципальный район</t>
  </si>
  <si>
    <t>14625000</t>
  </si>
  <si>
    <t>ter_51111</t>
  </si>
  <si>
    <t>53</t>
  </si>
  <si>
    <t>Волоконовский муниципальный район</t>
  </si>
  <si>
    <t>14630000</t>
  </si>
  <si>
    <t>ter_511111</t>
  </si>
  <si>
    <t>67</t>
  </si>
  <si>
    <t>Грайворонский городской округ</t>
  </si>
  <si>
    <t>14725000</t>
  </si>
  <si>
    <t>8</t>
  </si>
  <si>
    <t>ter_5111111</t>
  </si>
  <si>
    <t>74</t>
  </si>
  <si>
    <t>Ивнянский район</t>
  </si>
  <si>
    <t>14638000</t>
  </si>
  <si>
    <t>9</t>
  </si>
  <si>
    <t>ter_51111111</t>
  </si>
  <si>
    <t>94</t>
  </si>
  <si>
    <t>Корочанский район</t>
  </si>
  <si>
    <t>14640000</t>
  </si>
  <si>
    <t>10</t>
  </si>
  <si>
    <t>ter_511111111</t>
  </si>
  <si>
    <t>113</t>
  </si>
  <si>
    <t>Красненский район</t>
  </si>
  <si>
    <t>14641000</t>
  </si>
  <si>
    <t>11</t>
  </si>
  <si>
    <t>ter_5111111111</t>
  </si>
  <si>
    <t>127</t>
  </si>
  <si>
    <t>Красногвардейский район</t>
  </si>
  <si>
    <t>14642000</t>
  </si>
  <si>
    <t>12</t>
  </si>
  <si>
    <t>ter_51111111111</t>
  </si>
  <si>
    <t>140</t>
  </si>
  <si>
    <t>Краснояружский район</t>
  </si>
  <si>
    <t>14643000</t>
  </si>
  <si>
    <t>13</t>
  </si>
  <si>
    <t>ter_511111111111</t>
  </si>
  <si>
    <t>145</t>
  </si>
  <si>
    <t>Новооскольский городской округ</t>
  </si>
  <si>
    <t>14735000</t>
  </si>
  <si>
    <t>14</t>
  </si>
  <si>
    <t>ter_5111111111111</t>
  </si>
  <si>
    <t>159</t>
  </si>
  <si>
    <t>Прохоровский район</t>
  </si>
  <si>
    <t>14646000</t>
  </si>
  <si>
    <t>15</t>
  </si>
  <si>
    <t>ter_51111111111111</t>
  </si>
  <si>
    <t>173</t>
  </si>
  <si>
    <t>Ракитянский муниципальный район</t>
  </si>
  <si>
    <t>14648000</t>
  </si>
  <si>
    <t>16</t>
  </si>
  <si>
    <t>ter_511111111111111</t>
  </si>
  <si>
    <t>188</t>
  </si>
  <si>
    <t>Ровеньский район</t>
  </si>
  <si>
    <t>14650000</t>
  </si>
  <si>
    <t>17</t>
  </si>
  <si>
    <t>ter_5111111111111111</t>
  </si>
  <si>
    <t>210</t>
  </si>
  <si>
    <t>Шебекинский городской округ</t>
  </si>
  <si>
    <t>14750000</t>
  </si>
  <si>
    <t>18</t>
  </si>
  <si>
    <t>ter_51111111111111111</t>
  </si>
  <si>
    <t>19</t>
  </si>
  <si>
    <t>ter_511111111111111111</t>
  </si>
  <si>
    <t>209</t>
  </si>
  <si>
    <t>Чернянский муниципальный район</t>
  </si>
  <si>
    <t>поселок Чернянка</t>
  </si>
  <si>
    <t>14654151</t>
  </si>
  <si>
    <t>20</t>
  </si>
  <si>
    <t>ter_5111111111111111111</t>
  </si>
  <si>
    <t>208</t>
  </si>
  <si>
    <t>14654000</t>
  </si>
  <si>
    <t>21</t>
  </si>
  <si>
    <t>ter_51111111111111111111</t>
  </si>
  <si>
    <t>211</t>
  </si>
  <si>
    <t>Яковлевский городской округ</t>
  </si>
  <si>
    <t>14755000</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</si>
  <si>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</si>
  <si>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</si>
  <si>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</si>
  <si>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</si>
  <si>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</si>
  <si>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</si>
  <si>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</si>
  <si>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</si>
  <si>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</si>
  <si>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</si>
  <si>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</si>
  <si>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</si>
  <si>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</si>
  <si>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</si>
  <si>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</si>
  <si>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</si>
  <si>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</si>
  <si>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</si>
  <si>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</si>
  <si>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</si>
  <si>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</si>
  <si>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</si>
  <si>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</si>
  <si>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</si>
  <si>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</si>
  <si>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</si>
  <si>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</si>
  <si>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</si>
  <si>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</si>
  <si>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</si>
  <si>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</si>
  <si>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</si>
  <si>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</si>
  <si>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</si>
  <si>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</si>
  <si>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</si>
  <si>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</si>
  <si>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</si>
  <si>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</si>
  <si>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</si>
  <si>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</si>
  <si>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</si>
  <si>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</si>
  <si>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</si>
  <si>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</si>
  <si>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</si>
  <si>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</si>
  <si>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</si>
  <si>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</si>
  <si>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</si>
  <si>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</si>
  <si>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</si>
  <si>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</si>
  <si>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</si>
  <si>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</si>
  <si>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</si>
  <si>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</si>
  <si>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</si>
  <si>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</si>
  <si>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</si>
  <si>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</si>
  <si>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</si>
  <si>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</si>
  <si>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</si>
  <si>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</si>
  <si>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</si>
  <si>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</si>
  <si>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</si>
  <si>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</si>
  <si>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</si>
  <si>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</si>
  <si>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</si>
  <si>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</si>
  <si>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</si>
  <si>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</si>
  <si>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</si>
  <si>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</si>
  <si>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</si>
  <si>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</si>
  <si>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</si>
  <si>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</si>
  <si>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</si>
  <si>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</si>
  <si>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</si>
  <si>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</si>
  <si>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</si>
  <si>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</si>
  <si>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</si>
  <si>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</si>
  <si>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</si>
  <si>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</si>
  <si>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</si>
  <si>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</si>
  <si>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</si>
  <si>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</si>
  <si>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</si>
  <si>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</si>
  <si>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</si>
  <si>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</si>
  <si>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</si>
  <si>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</si>
  <si>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</si>
  <si>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</si>
  <si>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</si>
  <si>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</si>
  <si>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</si>
  <si>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</si>
  <si>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</si>
  <si>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</si>
  <si>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</si>
  <si>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Холодное водоснабжение. Питьевая вода</t>
  </si>
  <si>
    <t>г. Белгород и Белгородский район</t>
  </si>
  <si>
    <t>"4189671"</t>
  </si>
  <si>
    <t>pIns_PT_VTAR_A_COLDVSNA</t>
  </si>
  <si>
    <t>pt_ntar_9</t>
  </si>
  <si>
    <t>pt_ter_9</t>
  </si>
  <si>
    <t>pt_cs_9</t>
  </si>
  <si>
    <t>Добавить централизованную систему для дифференциации</t>
  </si>
  <si>
    <t>Алексеевский район</t>
  </si>
  <si>
    <t>pt_ter_30</t>
  </si>
  <si>
    <t>pt_cs_30</t>
  </si>
  <si>
    <t>pt_ist_te_30</t>
  </si>
  <si>
    <t>pt_ter_31</t>
  </si>
  <si>
    <t>pt_cs_31</t>
  </si>
  <si>
    <t>pt_ist_te_31</t>
  </si>
  <si>
    <t>Валуйский район</t>
  </si>
  <si>
    <t>pt_ter_32</t>
  </si>
  <si>
    <t>pt_cs_32</t>
  </si>
  <si>
    <t>pt_ist_te_32</t>
  </si>
  <si>
    <t>Вейделевский район</t>
  </si>
  <si>
    <t>pt_ter_33</t>
  </si>
  <si>
    <t>pt_cs_33</t>
  </si>
  <si>
    <t>pt_ist_te_33</t>
  </si>
  <si>
    <t>Волоконовский район</t>
  </si>
  <si>
    <t>pt_ter_34</t>
  </si>
  <si>
    <t>pt_cs_34</t>
  </si>
  <si>
    <t>pt_ist_te_34</t>
  </si>
  <si>
    <t>Грайворонский район</t>
  </si>
  <si>
    <t>pt_ter_35</t>
  </si>
  <si>
    <t>pt_cs_35</t>
  </si>
  <si>
    <t>pt_ist_te_35</t>
  </si>
  <si>
    <t>pt_ter_36</t>
  </si>
  <si>
    <t>pt_cs_36</t>
  </si>
  <si>
    <t>pt_ist_te_36</t>
  </si>
  <si>
    <t>pt_ter_37</t>
  </si>
  <si>
    <t>pt_cs_37</t>
  </si>
  <si>
    <t>pt_ist_te_37</t>
  </si>
  <si>
    <t>pt_ter_38</t>
  </si>
  <si>
    <t>pt_cs_38</t>
  </si>
  <si>
    <t>pt_ist_te_38</t>
  </si>
  <si>
    <t>pt_ter_39</t>
  </si>
  <si>
    <t>pt_cs_39</t>
  </si>
  <si>
    <t>pt_ist_te_39</t>
  </si>
  <si>
    <t>pt_ter_40</t>
  </si>
  <si>
    <t>pt_cs_40</t>
  </si>
  <si>
    <t>pt_ist_te_40</t>
  </si>
  <si>
    <t>Новооскольский район</t>
  </si>
  <si>
    <t>pt_ter_41</t>
  </si>
  <si>
    <t>pt_cs_41</t>
  </si>
  <si>
    <t>pt_ist_te_41</t>
  </si>
  <si>
    <t>pt_ter_42</t>
  </si>
  <si>
    <t>pt_cs_42</t>
  </si>
  <si>
    <t>pt_ist_te_42</t>
  </si>
  <si>
    <t>Ракитянский район</t>
  </si>
  <si>
    <t>pt_ter_43</t>
  </si>
  <si>
    <t>pt_cs_43</t>
  </si>
  <si>
    <t>pt_ist_te_43</t>
  </si>
  <si>
    <t xml:space="preserve">Ровеньской район </t>
  </si>
  <si>
    <t>pt_ter_44</t>
  </si>
  <si>
    <t>pt_cs_44</t>
  </si>
  <si>
    <t>pt_ist_te_44</t>
  </si>
  <si>
    <t>Шебекинский район (г. шебекино, п. Графовка.)</t>
  </si>
  <si>
    <t>pt_ter_45</t>
  </si>
  <si>
    <t>pt_cs_45</t>
  </si>
  <si>
    <t>pt_ist_te_45</t>
  </si>
  <si>
    <t>Шебекинский район (с/п)</t>
  </si>
  <si>
    <t>pt_ter_46</t>
  </si>
  <si>
    <t>pt_cs_46</t>
  </si>
  <si>
    <t>pt_ist_te_46</t>
  </si>
  <si>
    <t>Чернянский район (п. Чернянска)</t>
  </si>
  <si>
    <t>pt_ter_47</t>
  </si>
  <si>
    <t>pt_cs_47</t>
  </si>
  <si>
    <t>pt_ist_te_47</t>
  </si>
  <si>
    <t>Чернянский район (с/п)</t>
  </si>
  <si>
    <t>pt_ter_48</t>
  </si>
  <si>
    <t>pt_cs_48</t>
  </si>
  <si>
    <t>pt_ist_te_48</t>
  </si>
  <si>
    <t>Яковлевский район</t>
  </si>
  <si>
    <t>pt_ter_49</t>
  </si>
  <si>
    <t>pt_cs_49</t>
  </si>
  <si>
    <t>pt_ist_te_49</t>
  </si>
  <si>
    <t>Добавить территорию для дифференциации</t>
  </si>
  <si>
    <t>Добавить наименование тарифа</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</si>
  <si>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</si>
  <si>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</si>
  <si>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</si>
  <si>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</si>
  <si>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</si>
  <si>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</si>
  <si>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</si>
  <si>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</si>
  <si>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</si>
  <si>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</si>
  <si>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</si>
  <si>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</si>
  <si>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</si>
  <si>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</si>
  <si>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</si>
  <si>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</si>
  <si>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</si>
  <si>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</si>
  <si>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</si>
  <si>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</si>
  <si>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</si>
  <si>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</si>
  <si>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</si>
  <si>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</si>
  <si>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</si>
  <si>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</si>
  <si>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</si>
  <si>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</si>
  <si>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</si>
  <si>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</si>
  <si>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</si>
  <si>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</si>
  <si>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</si>
  <si>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</si>
  <si>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</si>
  <si>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</si>
  <si>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</si>
  <si>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</si>
  <si>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</si>
  <si>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</si>
  <si>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</si>
  <si>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</si>
  <si>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</si>
  <si>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</si>
  <si>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</si>
  <si>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</si>
  <si>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</si>
  <si>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</si>
  <si>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</si>
  <si>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</si>
  <si>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</si>
  <si>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</si>
  <si>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</si>
  <si>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</si>
  <si>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</si>
  <si>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</si>
  <si>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</si>
  <si>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</si>
  <si>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</si>
  <si>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</si>
  <si>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</si>
  <si>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</si>
  <si>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</si>
  <si>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</si>
  <si>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</si>
  <si>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</si>
  <si>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</si>
  <si>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</si>
  <si>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</si>
  <si>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</si>
  <si>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</si>
  <si>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</si>
  <si>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</si>
  <si>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</si>
  <si>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</si>
  <si>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</si>
  <si>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</si>
  <si>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</si>
  <si>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</si>
  <si>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</si>
  <si>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</si>
  <si>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</si>
  <si>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</si>
  <si>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</si>
  <si>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</si>
  <si>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</si>
  <si>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</si>
  <si>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</si>
  <si>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</si>
  <si>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</si>
  <si>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</si>
  <si>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</si>
  <si>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</si>
  <si>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</si>
  <si>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</si>
  <si>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</si>
  <si>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</si>
  <si>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</si>
  <si>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</si>
  <si>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</si>
  <si>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</si>
  <si>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</si>
  <si>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</si>
  <si>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</si>
  <si>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</si>
  <si>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</si>
  <si>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</si>
  <si>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</si>
  <si>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</si>
  <si>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</si>
  <si>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</si>
  <si>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</si>
  <si>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</si>
  <si>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</si>
  <si>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</si>
  <si>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</si>
  <si>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</si>
  <si>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</si>
  <si>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</si>
  <si>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</si>
  <si>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</si>
  <si>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</si>
  <si>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</si>
  <si>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</si>
  <si>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</si>
  <si>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</si>
  <si>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</si>
  <si>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</si>
  <si>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</si>
  <si>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</si>
  <si>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</si>
  <si>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</si>
  <si>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</si>
  <si>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</si>
  <si>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</si>
  <si>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</si>
  <si>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</si>
  <si>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</si>
  <si>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</si>
  <si>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</si>
  <si>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</si>
  <si>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</si>
  <si>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</si>
  <si>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</si>
  <si>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</si>
  <si>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</si>
  <si>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</si>
  <si>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</si>
  <si>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</si>
  <si>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</si>
  <si>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</si>
  <si>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</si>
  <si>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</si>
  <si>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</si>
  <si>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</si>
  <si>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</si>
  <si>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</si>
  <si>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</si>
  <si>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</si>
  <si>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</si>
  <si>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</si>
  <si>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</si>
  <si>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</si>
  <si>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</si>
  <si>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</si>
  <si>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</si>
  <si>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</si>
  <si>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</si>
  <si>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</si>
  <si>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</si>
  <si>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</si>
  <si>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</si>
  <si>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</si>
  <si>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</si>
  <si>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</si>
  <si>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</si>
  <si>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</si>
  <si>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</si>
  <si>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</si>
  <si>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</si>
  <si>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</si>
  <si>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</si>
  <si>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</si>
  <si>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</si>
  <si>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</si>
  <si>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</si>
  <si>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</si>
  <si>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</si>
  <si>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</si>
  <si>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</si>
  <si>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</si>
  <si>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</si>
  <si>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</si>
  <si>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</si>
  <si>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</si>
  <si>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</si>
  <si>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</si>
  <si>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</si>
  <si>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</si>
  <si>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</si>
  <si>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</si>
  <si>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</si>
  <si>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</si>
  <si>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</si>
  <si>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</si>
  <si>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</si>
  <si>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</si>
  <si>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</si>
  <si>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</si>
  <si>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</si>
  <si>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</si>
  <si>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</si>
  <si>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</si>
  <si>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</si>
  <si>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</si>
  <si>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</si>
  <si>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</si>
  <si>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</si>
  <si>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</si>
  <si>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</si>
  <si>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</si>
  <si>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</si>
  <si>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</si>
  <si>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</si>
  <si>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</si>
  <si>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</si>
  <si>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</si>
  <si>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</si>
  <si>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</si>
  <si>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</si>
  <si>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</si>
  <si>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</si>
  <si>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</si>
  <si>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</si>
  <si>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</si>
  <si>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</si>
  <si>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</si>
  <si>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</si>
  <si>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</si>
  <si>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</si>
  <si>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</si>
  <si>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</si>
  <si>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</si>
  <si>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</si>
  <si>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</si>
  <si>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</si>
  <si>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</si>
  <si>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</si>
  <si>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</si>
  <si>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</si>
  <si>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</si>
  <si>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</si>
  <si>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</si>
  <si>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</si>
  <si>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</si>
  <si>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</si>
  <si>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</si>
  <si>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</si>
  <si>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</si>
  <si>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</si>
  <si>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</si>
  <si>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</si>
  <si>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</si>
  <si>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</si>
  <si>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без дифференциации</t>
  </si>
  <si>
    <t>Тариф по водоснабжению без НДС</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</si>
  <si>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</si>
  <si>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</si>
  <si>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</si>
  <si>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</si>
  <si>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</si>
  <si>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</si>
  <si>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</si>
  <si>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</si>
  <si>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</si>
  <si>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</si>
  <si>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</si>
  <si>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</si>
  <si>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</si>
  <si>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</si>
  <si>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</si>
  <si>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</si>
  <si>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</si>
  <si>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</si>
  <si>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</si>
  <si>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</si>
  <si>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</si>
  <si>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</si>
  <si>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</si>
  <si>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</si>
  <si>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</si>
  <si>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</si>
  <si>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</si>
  <si>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</si>
  <si>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</si>
  <si>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</si>
  <si>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</si>
  <si>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</si>
  <si>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</si>
  <si>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</si>
  <si>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</si>
  <si>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</si>
  <si>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</si>
  <si>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</si>
  <si>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</si>
  <si>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</si>
  <si>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</si>
  <si>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</si>
  <si>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</si>
  <si>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</si>
  <si>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</si>
  <si>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</si>
  <si>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</si>
  <si>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</si>
  <si>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</si>
  <si>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</si>
  <si>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</si>
  <si>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</si>
  <si>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</si>
  <si>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</si>
  <si>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</si>
  <si>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</si>
  <si>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</si>
  <si>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</si>
  <si>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</si>
  <si>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</si>
  <si>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</si>
  <si>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</si>
  <si>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</si>
  <si>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</si>
  <si>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</si>
  <si>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</si>
  <si>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</si>
  <si>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</si>
  <si>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</si>
  <si>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</si>
  <si>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</si>
  <si>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</si>
  <si>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</si>
  <si>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</si>
  <si>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</si>
  <si>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</si>
  <si>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</si>
  <si>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</si>
  <si>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</si>
  <si>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</si>
  <si>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</si>
  <si>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</si>
  <si>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</si>
  <si>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</si>
  <si>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</si>
  <si>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</si>
  <si>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</si>
  <si>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</si>
  <si>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</si>
  <si>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</si>
  <si>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</si>
  <si>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</si>
  <si>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</si>
  <si>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</si>
  <si>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</si>
  <si>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</si>
  <si>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</si>
  <si>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</si>
  <si>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</si>
  <si>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</si>
  <si>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</si>
  <si>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</si>
  <si>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</si>
  <si>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</si>
  <si>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</si>
  <si>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</si>
  <si>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</si>
  <si>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</si>
  <si>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</si>
  <si>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</si>
  <si>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</si>
  <si>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</si>
  <si>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</si>
  <si>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</si>
  <si>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</si>
  <si>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</si>
  <si>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</si>
  <si>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</si>
  <si>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</si>
  <si>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</si>
  <si>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</si>
  <si>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</si>
  <si>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</si>
  <si>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</si>
  <si>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</si>
  <si>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</si>
  <si>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</si>
  <si>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</si>
  <si>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</si>
  <si>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</si>
  <si>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</si>
  <si>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</si>
  <si>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</si>
  <si>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</si>
  <si>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</si>
  <si>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</si>
  <si>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</si>
  <si>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</si>
  <si>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</si>
  <si>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</si>
  <si>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</si>
  <si>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</si>
  <si>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</si>
  <si>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</si>
  <si>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</si>
  <si>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</si>
  <si>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</si>
  <si>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</si>
  <si>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</si>
  <si>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</si>
  <si>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</si>
  <si>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</si>
  <si>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</si>
  <si>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</si>
  <si>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</si>
  <si>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</si>
  <si>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</si>
  <si>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</si>
  <si>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</si>
  <si>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</si>
  <si>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</si>
  <si>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</si>
  <si>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</si>
  <si>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</si>
  <si>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</si>
  <si>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</si>
  <si>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</si>
  <si>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</si>
  <si>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</si>
  <si>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</si>
  <si>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</si>
  <si>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</si>
  <si>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</si>
  <si>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</si>
  <si>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</si>
  <si>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</si>
  <si>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</si>
  <si>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</si>
  <si>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</si>
  <si>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</si>
  <si>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</si>
  <si>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</si>
  <si>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</si>
  <si>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</si>
  <si>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</si>
  <si>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</si>
  <si>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</si>
  <si>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</si>
  <si>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</si>
  <si>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</si>
  <si>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</si>
  <si>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</si>
  <si>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</si>
  <si>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</si>
  <si>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</si>
  <si>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</si>
  <si>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</si>
  <si>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</si>
  <si>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</si>
  <si>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</si>
  <si>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</si>
  <si>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</si>
  <si>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</si>
  <si>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</si>
  <si>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</si>
  <si>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</si>
  <si>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</si>
  <si>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</si>
  <si>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</si>
  <si>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</si>
  <si>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</si>
  <si>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</si>
  <si>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</si>
  <si>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</si>
  <si>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</si>
  <si>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</si>
  <si>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</si>
  <si>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</si>
  <si>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</si>
  <si>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</si>
  <si>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</si>
  <si>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</si>
  <si>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</si>
  <si>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</si>
  <si>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</si>
  <si>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</si>
  <si>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</si>
  <si>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</si>
  <si>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</si>
  <si>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</si>
  <si>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</si>
  <si>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</si>
  <si>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</si>
  <si>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</si>
  <si>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</si>
  <si>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</si>
  <si>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</si>
  <si>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</si>
  <si>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</si>
  <si>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</si>
  <si>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</si>
  <si>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</si>
  <si>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</si>
  <si>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</si>
  <si>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</si>
  <si>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</si>
  <si>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</si>
  <si>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</si>
  <si>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</si>
  <si>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</si>
  <si>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</si>
  <si>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</si>
  <si>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</si>
  <si>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</si>
  <si>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</si>
  <si>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</si>
  <si>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</si>
  <si>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</si>
  <si>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</si>
  <si>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</si>
  <si>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</si>
  <si>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</si>
  <si>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</si>
  <si>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</si>
  <si>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</si>
  <si>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</si>
  <si>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</si>
  <si>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</si>
  <si>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</si>
  <si>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</si>
  <si>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</si>
  <si>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</si>
  <si>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</si>
  <si>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</si>
  <si>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</si>
  <si>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</si>
  <si>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</si>
  <si>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</si>
  <si>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</si>
  <si>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</si>
  <si>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</si>
  <si>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</si>
  <si>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</si>
  <si>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</si>
  <si>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</si>
  <si>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</si>
  <si>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</si>
  <si>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</si>
  <si>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</si>
  <si>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</si>
  <si>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</si>
  <si>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</si>
  <si>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</si>
  <si>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</si>
  <si>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</si>
  <si>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</si>
  <si>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</si>
  <si>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</si>
  <si>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</si>
  <si>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</si>
  <si>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</si>
  <si>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</si>
  <si>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</si>
  <si>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</si>
  <si>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</si>
  <si>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</si>
  <si>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</si>
  <si>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</si>
  <si>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</si>
  <si>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</si>
  <si>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</si>
  <si>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</si>
  <si>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</si>
  <si>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</si>
  <si>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</si>
  <si>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</si>
  <si>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</si>
  <si>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</si>
  <si>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</si>
  <si>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</si>
  <si>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</si>
  <si>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</si>
  <si>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</si>
  <si>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</si>
  <si>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</si>
  <si>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</si>
  <si>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</si>
  <si>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</si>
  <si>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</si>
  <si>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</si>
  <si>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</si>
  <si>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</si>
  <si>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</si>
  <si>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</si>
  <si>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</si>
  <si>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</si>
  <si>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</si>
  <si>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</si>
  <si>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</si>
  <si>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</si>
  <si>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</si>
  <si>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</si>
  <si>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</si>
  <si>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</si>
  <si>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</si>
  <si>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</si>
  <si>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</si>
  <si>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</si>
  <si>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</si>
  <si>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</si>
  <si>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</si>
  <si>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</si>
  <si>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</si>
  <si>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</si>
  <si>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</si>
  <si>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</si>
  <si>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</si>
  <si>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</si>
  <si>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</si>
  <si>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</si>
  <si>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</si>
  <si>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</si>
  <si>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</si>
  <si>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</si>
  <si>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</si>
  <si>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</si>
  <si>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</si>
  <si>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</si>
  <si>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</si>
  <si>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</si>
  <si>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</si>
  <si>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</si>
  <si>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</si>
  <si>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</si>
  <si>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</si>
  <si>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</si>
  <si>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</si>
  <si>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</si>
  <si>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</si>
  <si>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</si>
  <si>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</si>
  <si>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</si>
  <si>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</si>
  <si>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</si>
  <si>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</si>
  <si>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</si>
  <si>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</si>
  <si>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</si>
  <si>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</si>
  <si>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</si>
  <si>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</si>
  <si>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</si>
  <si>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</si>
  <si>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</si>
  <si>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</si>
  <si>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</si>
  <si>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</si>
  <si>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</si>
  <si>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</si>
  <si>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</si>
  <si>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</si>
  <si>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</si>
  <si>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</si>
  <si>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</si>
  <si>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</si>
  <si>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</si>
  <si>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</si>
  <si>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</si>
  <si>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</si>
  <si>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</si>
  <si>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</si>
  <si>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</si>
  <si>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</si>
  <si>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</si>
  <si>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</si>
  <si>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</si>
  <si>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</si>
  <si>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</si>
  <si>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</si>
  <si>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</si>
  <si>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</si>
  <si>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</si>
  <si>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</si>
  <si>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</si>
  <si>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</si>
  <si>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</si>
  <si>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</si>
  <si>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</si>
  <si>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</si>
  <si>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</si>
  <si>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</si>
  <si>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</si>
  <si>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</si>
  <si>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</si>
  <si>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</si>
  <si>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</si>
  <si>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</si>
  <si>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</si>
  <si>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</si>
  <si>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</si>
  <si>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</si>
  <si>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</si>
  <si>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</si>
  <si>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</si>
  <si>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</si>
  <si>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</si>
  <si>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</si>
  <si>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</si>
  <si>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</si>
  <si>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</si>
  <si>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</si>
  <si>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</si>
  <si>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</si>
  <si>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</si>
  <si>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</si>
  <si>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</si>
  <si>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</si>
  <si>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</si>
  <si>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</si>
  <si>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</si>
  <si>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</si>
  <si>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</si>
  <si>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</si>
  <si>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</si>
  <si>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</si>
  <si>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</si>
  <si>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</si>
  <si>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</si>
  <si>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</si>
  <si>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</si>
  <si>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</si>
  <si>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</si>
  <si>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</si>
  <si>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</si>
  <si>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</si>
  <si>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</si>
  <si>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</si>
  <si>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</si>
  <si>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</si>
  <si>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</si>
  <si>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</si>
  <si>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</si>
  <si>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</si>
  <si>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</si>
  <si>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</si>
  <si>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</si>
  <si>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</si>
  <si>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</si>
  <si>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</si>
  <si>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</si>
  <si>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</si>
  <si>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</si>
  <si>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</si>
  <si>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</si>
  <si>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</si>
  <si>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</si>
  <si>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</si>
  <si>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</si>
  <si>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</si>
  <si>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</si>
  <si>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</si>
  <si>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</si>
  <si>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</si>
  <si>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</si>
  <si>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</si>
  <si>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</si>
  <si>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</si>
  <si>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</si>
  <si>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</si>
  <si>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</si>
  <si>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</si>
  <si>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</si>
  <si>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</si>
  <si>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</si>
  <si>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</si>
  <si>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</si>
  <si>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</si>
  <si>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</si>
  <si>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</si>
  <si>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</si>
  <si>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</si>
  <si>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</si>
  <si>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</si>
  <si>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</si>
  <si>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</si>
  <si>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</si>
  <si>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</si>
  <si>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</si>
  <si>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</si>
  <si>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</si>
  <si>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</si>
  <si>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</si>
  <si>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</si>
  <si>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</si>
  <si>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</si>
  <si>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</si>
  <si>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</si>
  <si>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</si>
  <si>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</si>
  <si>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</si>
  <si>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</si>
  <si>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</si>
  <si>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</si>
  <si>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</si>
  <si>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</si>
  <si>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</si>
  <si>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</si>
  <si>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</si>
  <si>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</si>
  <si>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</si>
  <si>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</si>
  <si>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</si>
  <si>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</si>
  <si>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</si>
  <si>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</si>
  <si>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</si>
  <si>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</si>
  <si>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</si>
  <si>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</si>
  <si>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</si>
  <si>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</si>
  <si>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</si>
  <si>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</si>
  <si>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</si>
  <si>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</si>
  <si>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</si>
  <si>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</si>
  <si>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</si>
  <si>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</si>
  <si>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</si>
  <si>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</si>
  <si>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</si>
  <si>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</si>
  <si>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</si>
  <si>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</si>
  <si>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</si>
  <si>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</si>
  <si>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</si>
  <si>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</si>
  <si>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</si>
  <si>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</si>
  <si>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</si>
  <si>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</si>
  <si>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</si>
  <si>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</si>
  <si>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</si>
  <si>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</si>
  <si>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</si>
  <si>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</si>
  <si>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</si>
  <si>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</si>
  <si>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</si>
  <si>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</si>
  <si>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</si>
  <si>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</si>
  <si>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</si>
  <si>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</si>
  <si>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</si>
  <si>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</si>
  <si>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</si>
  <si>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</si>
  <si>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</si>
  <si>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</si>
  <si>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</si>
  <si>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</si>
  <si>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</si>
  <si>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</si>
  <si>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</si>
  <si>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</si>
  <si>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</si>
  <si>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</si>
  <si>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</si>
  <si>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</si>
  <si>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</si>
  <si>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</si>
  <si>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</si>
  <si>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</si>
  <si>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</si>
  <si>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</si>
  <si>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</si>
  <si>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</si>
  <si>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</si>
  <si>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</si>
  <si>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</si>
  <si>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</si>
  <si>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</si>
  <si>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</si>
  <si>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</si>
  <si>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</si>
  <si>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</si>
  <si>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</si>
  <si>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</si>
  <si>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</si>
  <si>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</si>
  <si>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</si>
  <si>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</si>
  <si>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</si>
  <si>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</si>
  <si>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</si>
  <si>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</si>
  <si>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</si>
  <si>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</si>
  <si>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</si>
  <si>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</si>
  <si>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</si>
  <si>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</si>
  <si>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</si>
  <si>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</si>
  <si>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</si>
  <si>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</si>
  <si>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</si>
  <si>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</si>
  <si>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</si>
  <si>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</si>
  <si>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</si>
  <si>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</si>
  <si>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</si>
  <si>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</si>
  <si>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</si>
  <si>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Официальный сайт ГУП "Белоблводоканал"</t>
  </si>
  <si>
    <t>http://www.belwater.ru/tenders/</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</si>
  <si>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</si>
  <si>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</si>
  <si>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</si>
  <si>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</si>
  <si>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</si>
  <si>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</si>
  <si>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</si>
  <si>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</si>
  <si>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</si>
  <si>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</si>
  <si>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</si>
  <si>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</si>
  <si>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</si>
  <si>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</si>
  <si>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</si>
  <si>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</si>
  <si>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</si>
  <si>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</si>
  <si>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</si>
  <si>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</si>
  <si>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</si>
  <si>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</si>
  <si>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</si>
  <si>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</si>
  <si>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</si>
  <si>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</si>
  <si>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</si>
  <si>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</si>
  <si>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</si>
  <si>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</si>
  <si>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</si>
  <si>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</si>
  <si>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</si>
  <si>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</si>
  <si>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</si>
  <si>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</si>
  <si>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</si>
  <si>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</si>
  <si>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</si>
  <si>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</si>
  <si>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</si>
  <si>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</si>
  <si>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</si>
  <si>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</si>
  <si>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</si>
  <si>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</si>
  <si>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</si>
  <si>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</si>
  <si>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</si>
  <si>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</si>
  <si>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</si>
  <si>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</si>
  <si>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</si>
  <si>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</si>
  <si>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</si>
  <si>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</si>
  <si>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</si>
  <si>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</si>
  <si>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</si>
  <si>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</si>
  <si>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первичное раскрытие информации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</si>
  <si>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</si>
  <si>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</si>
  <si>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</si>
  <si>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</si>
  <si>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</si>
  <si>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</si>
  <si>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</si>
  <si>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</si>
  <si>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</si>
  <si>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</si>
  <si>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</si>
  <si>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</si>
  <si>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</si>
  <si>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</si>
  <si>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</si>
  <si>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</si>
  <si>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</si>
  <si>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</si>
  <si>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</si>
  <si>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</si>
  <si>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</si>
  <si>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</si>
  <si>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</si>
  <si>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</si>
  <si>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</si>
  <si>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</si>
  <si>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</si>
  <si>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</si>
  <si>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</si>
  <si>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</si>
  <si>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</si>
  <si>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</si>
  <si>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</si>
  <si>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</si>
  <si>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</si>
  <si>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</si>
  <si>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</si>
  <si>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</si>
  <si>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</si>
  <si>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</si>
  <si>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</si>
  <si>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</si>
  <si>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</si>
  <si>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</si>
  <si>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</si>
  <si>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</si>
  <si>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</si>
  <si>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</si>
  <si>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</si>
  <si>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</si>
  <si>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</si>
  <si>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</si>
  <si>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</si>
  <si>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</si>
  <si>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</si>
  <si>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</si>
  <si>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</si>
  <si>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</si>
  <si>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</si>
  <si>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</si>
  <si>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</si>
  <si>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</si>
  <si>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</si>
  <si>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</si>
  <si>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</si>
  <si>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</si>
  <si>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</si>
  <si>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</si>
  <si>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</si>
  <si>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</si>
  <si>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</si>
  <si>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</si>
  <si>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</si>
  <si>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</si>
  <si>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</si>
  <si>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</si>
  <si>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</si>
  <si>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</si>
  <si>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</si>
  <si>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</si>
  <si>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</si>
  <si>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</si>
  <si>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</si>
  <si>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</si>
  <si>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</si>
  <si>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</si>
  <si>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</si>
  <si>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</si>
  <si>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</si>
  <si>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</si>
  <si>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</si>
  <si>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</si>
  <si>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</si>
  <si>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</si>
  <si>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</si>
  <si>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</si>
  <si>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</si>
  <si>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</si>
  <si>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</si>
  <si>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</si>
  <si>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</si>
  <si>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</si>
  <si>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</si>
  <si>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</si>
  <si>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</si>
  <si>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</si>
  <si>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</si>
  <si>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</si>
  <si>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</si>
  <si>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</si>
  <si>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</si>
  <si>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</si>
  <si>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</si>
  <si>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</si>
  <si>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</si>
  <si>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</si>
  <si>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</si>
  <si>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</si>
  <si>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</si>
  <si>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</si>
  <si>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</si>
  <si>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</si>
  <si>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</si>
  <si>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</si>
  <si>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</si>
  <si>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</si>
  <si>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</si>
  <si>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</si>
  <si>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</si>
  <si>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</si>
  <si>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</si>
  <si>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</si>
  <si>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</si>
  <si>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</si>
  <si>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</si>
  <si>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</si>
  <si>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</si>
  <si>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</si>
  <si>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</si>
  <si>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</si>
  <si>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</si>
  <si>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</si>
  <si>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</si>
  <si>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</si>
  <si>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</si>
  <si>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</si>
  <si>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</si>
  <si>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</si>
  <si>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</si>
  <si>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</si>
  <si>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</si>
  <si>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</si>
  <si>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</si>
  <si>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</si>
  <si>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</si>
  <si>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</si>
  <si>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</si>
  <si>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</si>
  <si>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</si>
  <si>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</si>
  <si>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</si>
  <si>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</si>
  <si>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</si>
  <si>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</si>
  <si>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</si>
  <si>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</si>
  <si>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</si>
  <si>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</si>
  <si>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</si>
  <si>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</si>
  <si>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</si>
  <si>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</si>
  <si>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</si>
  <si>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</si>
  <si>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</si>
  <si>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</si>
  <si>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</si>
  <si>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</si>
  <si>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</si>
  <si>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</si>
  <si>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</si>
  <si>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</si>
  <si>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</si>
  <si>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</si>
  <si>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</si>
  <si>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</si>
  <si>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</si>
  <si>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</si>
  <si>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</si>
  <si>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</si>
  <si>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</si>
  <si>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</si>
  <si>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</si>
  <si>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</si>
  <si>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</si>
  <si>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</si>
  <si>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</si>
  <si>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</si>
  <si>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</si>
  <si>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</si>
  <si>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</si>
  <si>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</si>
  <si>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</si>
  <si>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</si>
  <si>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</si>
  <si>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</si>
  <si>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</si>
  <si>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</si>
  <si>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</si>
  <si>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</si>
  <si>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</si>
  <si>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</si>
  <si>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</si>
  <si>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</si>
  <si>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</si>
  <si>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</si>
  <si>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</si>
  <si>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</si>
  <si>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</si>
  <si>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</si>
  <si>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</si>
  <si>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</si>
  <si>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</si>
  <si>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</si>
  <si>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</si>
  <si>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</si>
  <si>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</si>
  <si>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</si>
  <si>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</si>
  <si>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</si>
  <si>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</si>
  <si>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</si>
  <si>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</si>
  <si>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</si>
  <si>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</si>
  <si>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</si>
  <si>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</si>
  <si>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</si>
  <si>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</si>
  <si>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</si>
  <si>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</si>
  <si>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</si>
  <si>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</si>
  <si>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</si>
  <si>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</si>
  <si>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</si>
  <si>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</si>
  <si>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</si>
  <si>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</si>
  <si>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</si>
  <si>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</si>
  <si>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</si>
  <si>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</si>
  <si>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</si>
  <si>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</si>
  <si>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</si>
  <si>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</si>
  <si>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</si>
  <si>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</si>
  <si>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</si>
  <si>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</si>
  <si>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</si>
  <si>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</si>
  <si>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</si>
  <si>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</si>
  <si>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</si>
  <si>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</si>
  <si>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</si>
  <si>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</si>
  <si>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</si>
  <si>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</si>
  <si>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</si>
  <si>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</si>
  <si>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</si>
  <si>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</si>
  <si>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</si>
  <si>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</si>
  <si>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</si>
  <si>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</si>
  <si>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</si>
  <si>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Горячее водоснабжение</t>
  </si>
  <si>
    <t>Водоотведение</t>
  </si>
  <si>
    <t>Захоронение твердых коммунальных отходов</t>
  </si>
  <si>
    <t>Ивановская область</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</si>
  <si>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</si>
  <si>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</si>
  <si>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</si>
  <si>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</si>
  <si>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</si>
  <si>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</si>
  <si>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</si>
  <si>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</si>
  <si>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</si>
  <si>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</si>
  <si>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</si>
  <si>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</si>
  <si>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</si>
  <si>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</si>
  <si>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</si>
  <si>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</si>
  <si>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</si>
  <si>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</si>
  <si>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</si>
  <si>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</si>
  <si>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</si>
  <si>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</si>
  <si>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</si>
  <si>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</si>
  <si>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</si>
  <si>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</si>
  <si>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</si>
  <si>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</si>
  <si>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</si>
  <si>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</si>
  <si>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</si>
  <si>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</si>
  <si>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</si>
  <si>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</si>
  <si>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</si>
  <si>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</si>
  <si>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</si>
  <si>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</si>
  <si>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</si>
  <si>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</si>
  <si>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</si>
  <si>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</si>
  <si>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</si>
  <si>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</si>
  <si>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</si>
  <si>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</si>
  <si>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</si>
  <si>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</si>
  <si>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</si>
  <si>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</si>
  <si>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</si>
  <si>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</si>
  <si>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</si>
  <si>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</si>
  <si>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</si>
  <si>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</si>
  <si>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</si>
  <si>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</si>
  <si>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</si>
  <si>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</si>
  <si>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</si>
  <si>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</si>
  <si>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</si>
  <si>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</si>
  <si>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</si>
  <si>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</si>
  <si>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</si>
  <si>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</si>
  <si>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</si>
  <si>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</si>
  <si>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</si>
  <si>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</si>
  <si>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</si>
  <si>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</si>
  <si>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</si>
  <si>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</si>
  <si>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</si>
  <si>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</si>
  <si>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</si>
  <si>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</si>
  <si>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</si>
  <si>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</si>
  <si>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</si>
  <si>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</si>
  <si>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</si>
  <si>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</si>
  <si>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</si>
  <si>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</si>
  <si>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</si>
  <si>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</si>
  <si>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</si>
  <si>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</si>
  <si>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</si>
  <si>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</si>
  <si>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</si>
  <si>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</si>
  <si>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</si>
  <si>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</si>
  <si>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</si>
  <si>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</si>
  <si>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</si>
  <si>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</si>
  <si>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</si>
  <si>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</si>
  <si>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</si>
  <si>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</si>
  <si>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</si>
  <si>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</si>
  <si>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</si>
  <si>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</si>
  <si>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</si>
  <si>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</si>
  <si>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</si>
  <si>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</si>
  <si>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</si>
  <si>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</si>
  <si>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</si>
  <si>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</si>
  <si>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</si>
  <si>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</si>
  <si>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</si>
  <si>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</si>
  <si>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</si>
  <si>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</si>
  <si>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</si>
  <si>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</si>
  <si>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</si>
  <si>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</si>
  <si>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</si>
  <si>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</si>
  <si>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</si>
  <si>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</si>
  <si>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</si>
  <si>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</si>
  <si>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</si>
  <si>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</si>
  <si>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</si>
  <si>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</si>
  <si>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</si>
  <si>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</si>
  <si>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</si>
  <si>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</si>
  <si>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</si>
  <si>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</si>
  <si>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</si>
  <si>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</si>
  <si>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</si>
  <si>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</si>
  <si>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</si>
  <si>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</si>
  <si>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</si>
  <si>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</si>
  <si>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</si>
  <si>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</si>
  <si>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</si>
  <si>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</si>
  <si>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</si>
  <si>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</si>
  <si>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</si>
  <si>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</si>
  <si>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</si>
  <si>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</si>
  <si>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</si>
  <si>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</si>
  <si>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</si>
  <si>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</si>
  <si>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</si>
  <si>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</si>
  <si>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</si>
  <si>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</si>
  <si>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</si>
  <si>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Республика Ингушетия</t>
  </si>
  <si>
    <t>TERRITORY_ID</t>
  </si>
  <si>
    <t>51111111111111111111111</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</si>
  <si>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</si>
  <si>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</si>
  <si>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</si>
  <si>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</si>
  <si>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</si>
  <si>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</si>
  <si>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</si>
  <si>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</si>
  <si>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</si>
  <si>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</si>
  <si>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</si>
  <si>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</si>
  <si>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</si>
  <si>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</si>
  <si>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</si>
  <si>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</si>
  <si>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</si>
  <si>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</si>
  <si>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</si>
  <si>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</si>
  <si>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</si>
  <si>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</si>
  <si>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</si>
  <si>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</si>
  <si>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</si>
  <si>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</si>
  <si>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</si>
  <si>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</si>
  <si>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</si>
  <si>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</si>
  <si>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</si>
  <si>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</si>
  <si>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</si>
  <si>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</si>
  <si>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</si>
  <si>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</si>
  <si>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</si>
  <si>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</si>
  <si>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</si>
  <si>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</si>
  <si>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</si>
  <si>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</si>
  <si>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</si>
  <si>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</si>
  <si>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</si>
  <si>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</si>
  <si>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</si>
  <si>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</si>
  <si>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</si>
  <si>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</si>
  <si>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</si>
  <si>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</si>
  <si>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</si>
  <si>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</si>
  <si>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</si>
  <si>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</si>
  <si>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</si>
  <si>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</si>
  <si>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</si>
  <si>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</si>
  <si>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</si>
  <si>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</si>
  <si>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</si>
  <si>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</si>
  <si>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</si>
  <si>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</si>
  <si>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</si>
  <si>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</si>
  <si>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</si>
  <si>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</si>
  <si>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</si>
  <si>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</si>
  <si>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</si>
  <si>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</si>
  <si>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</si>
  <si>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</si>
  <si>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</si>
  <si>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</si>
  <si>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</si>
  <si>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</si>
  <si>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</si>
  <si>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</si>
  <si>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</si>
  <si>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</si>
  <si>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</si>
  <si>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</si>
  <si>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</si>
  <si>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</si>
  <si>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</si>
  <si>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</si>
  <si>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</si>
  <si>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</si>
  <si>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</si>
  <si>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</si>
  <si>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</si>
  <si>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</si>
  <si>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</si>
  <si>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</si>
  <si>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</si>
  <si>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</si>
  <si>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</si>
  <si>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</si>
  <si>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</si>
  <si>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</si>
  <si>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</si>
  <si>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</si>
  <si>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</si>
  <si>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</si>
  <si>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</si>
  <si>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</si>
  <si>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</si>
  <si>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</si>
  <si>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</si>
  <si>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</si>
  <si>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</si>
  <si>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</si>
  <si>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</si>
  <si>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</si>
  <si>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</si>
  <si>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</si>
  <si>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</si>
  <si>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</si>
  <si>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</si>
  <si>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</si>
  <si>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</si>
  <si>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</si>
  <si>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</si>
  <si>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</si>
  <si>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</si>
  <si>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</si>
  <si>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</si>
  <si>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</si>
  <si>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</si>
  <si>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</si>
  <si>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</si>
  <si>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</si>
  <si>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</si>
  <si>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</si>
  <si>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</si>
  <si>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</si>
  <si>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</si>
  <si>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</si>
  <si>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</si>
  <si>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</si>
  <si>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</si>
  <si>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</si>
  <si>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</si>
  <si>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</si>
  <si>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</si>
  <si>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</si>
  <si>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</si>
  <si>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</si>
  <si>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</si>
  <si>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</si>
  <si>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</si>
  <si>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</si>
  <si>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</si>
  <si>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</si>
  <si>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</si>
  <si>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</si>
  <si>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</si>
  <si>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</si>
  <si>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</si>
  <si>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</si>
  <si>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</si>
  <si>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</si>
  <si>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</si>
  <si>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</si>
  <si>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</si>
  <si>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</si>
  <si>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</si>
  <si>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</si>
  <si>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</si>
  <si>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</si>
  <si>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</si>
  <si>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</si>
  <si>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</si>
  <si>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</si>
  <si>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</si>
  <si>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</si>
  <si>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</si>
  <si>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</si>
  <si>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</si>
  <si>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</si>
  <si>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</si>
  <si>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</si>
  <si>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</si>
  <si>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</si>
  <si>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</si>
  <si>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</si>
  <si>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</si>
  <si>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</si>
  <si>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</si>
  <si>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</si>
  <si>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</si>
  <si>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</si>
  <si>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</si>
  <si>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</si>
  <si>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</si>
  <si>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</si>
  <si>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</si>
  <si>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</si>
  <si>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</si>
  <si>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</si>
  <si>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</si>
  <si>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</si>
  <si>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</si>
  <si>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</si>
  <si>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</si>
  <si>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</si>
  <si>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</si>
  <si>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</si>
  <si>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</si>
  <si>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</si>
  <si>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</si>
  <si>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</si>
  <si>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</si>
  <si>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</si>
  <si>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</si>
  <si>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</si>
  <si>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</si>
  <si>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</si>
  <si>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</si>
  <si>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</si>
  <si>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</si>
  <si>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</si>
  <si>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</si>
  <si>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</si>
  <si>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</si>
  <si>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</si>
  <si>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</si>
  <si>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</si>
  <si>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</si>
  <si>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</si>
  <si>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</si>
  <si>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</si>
  <si>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</si>
  <si>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</si>
  <si>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</si>
  <si>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</si>
  <si>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</si>
  <si>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</si>
  <si>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</si>
  <si>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</si>
  <si>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</si>
  <si>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</si>
  <si>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</si>
  <si>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</si>
  <si>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</si>
  <si>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</si>
  <si>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</si>
  <si>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</si>
  <si>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</si>
  <si>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</si>
  <si>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</si>
  <si>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</si>
  <si>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</si>
  <si>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</si>
  <si>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</si>
  <si>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</si>
  <si>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</si>
  <si>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</si>
  <si>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</si>
  <si>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</si>
  <si>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</si>
  <si>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</si>
  <si>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</si>
  <si>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</si>
  <si>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</si>
  <si>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</si>
  <si>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</si>
  <si>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</si>
  <si>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</si>
  <si>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</si>
  <si>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</si>
  <si>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</si>
  <si>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</si>
  <si>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</si>
  <si>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</si>
  <si>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</si>
  <si>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</si>
  <si>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</si>
  <si>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</si>
  <si>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</si>
  <si>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</si>
  <si>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</si>
  <si>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</si>
  <si>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</si>
  <si>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</si>
  <si>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</si>
  <si>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</si>
  <si>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</si>
  <si>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</si>
  <si>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</si>
  <si>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</si>
  <si>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</si>
  <si>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</si>
  <si>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</si>
  <si>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</si>
  <si>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</si>
  <si>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</si>
  <si>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</si>
  <si>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</si>
  <si>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</si>
  <si>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</si>
  <si>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</si>
  <si>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</si>
  <si>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</si>
  <si>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</si>
  <si>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</si>
  <si>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</si>
  <si>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</si>
  <si>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</si>
  <si>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</si>
  <si>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</si>
  <si>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</si>
  <si>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</si>
  <si>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</si>
  <si>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</si>
  <si>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</si>
  <si>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</si>
  <si>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</si>
  <si>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</si>
  <si>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</si>
  <si>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</si>
  <si>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</si>
  <si>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</si>
  <si>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</si>
  <si>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</si>
  <si>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</si>
  <si>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</si>
  <si>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</si>
  <si>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</si>
  <si>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</si>
  <si>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</si>
  <si>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</si>
  <si>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</si>
  <si>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</si>
  <si>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</si>
  <si>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</si>
  <si>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</si>
  <si>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</si>
  <si>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</si>
  <si>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</si>
  <si>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</si>
  <si>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</si>
  <si>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</si>
  <si>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</si>
  <si>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</si>
  <si>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</si>
  <si>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</si>
  <si>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</si>
  <si>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</si>
  <si>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</si>
  <si>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</si>
  <si>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</si>
  <si>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</si>
  <si>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</si>
  <si>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</si>
  <si>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</si>
  <si>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</si>
  <si>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</si>
  <si>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</si>
  <si>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</si>
  <si>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</si>
  <si>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</si>
  <si>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</si>
  <si>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</si>
  <si>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</si>
  <si>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</si>
  <si>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</si>
  <si>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</si>
  <si>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</si>
  <si>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</si>
  <si>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</si>
  <si>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</si>
  <si>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</si>
  <si>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</si>
  <si>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</si>
  <si>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</si>
  <si>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</si>
  <si>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</si>
  <si>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</si>
  <si>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</si>
  <si>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</si>
  <si>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</si>
  <si>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</si>
  <si>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</si>
  <si>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</si>
  <si>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</si>
  <si>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</si>
  <si>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</si>
  <si>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</si>
  <si>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</si>
  <si>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</si>
  <si>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</si>
  <si>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</si>
  <si>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</si>
  <si>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</si>
  <si>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</si>
  <si>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</si>
  <si>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</si>
  <si>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</si>
  <si>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</si>
  <si>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</si>
  <si>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</si>
  <si>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</si>
  <si>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</si>
  <si>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</si>
  <si>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</si>
  <si>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</si>
  <si>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</si>
  <si>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</si>
  <si>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</si>
  <si>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</si>
  <si>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</si>
  <si>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</si>
  <si>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</si>
  <si>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</si>
  <si>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</si>
  <si>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</si>
  <si>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</si>
  <si>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</si>
  <si>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</si>
  <si>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</si>
  <si>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</si>
  <si>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</si>
  <si>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</si>
  <si>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</si>
  <si>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</si>
  <si>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</si>
  <si>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</si>
  <si>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</si>
  <si>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</si>
  <si>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</si>
  <si>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</si>
  <si>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</si>
  <si>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</si>
  <si>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</si>
  <si>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</si>
  <si>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</si>
  <si>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</si>
  <si>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</si>
  <si>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</si>
  <si>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</si>
  <si>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</si>
  <si>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</si>
  <si>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</si>
  <si>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</si>
  <si>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</si>
  <si>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</si>
  <si>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</si>
  <si>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</si>
  <si>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</si>
  <si>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</si>
  <si>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</si>
  <si>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</si>
  <si>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</si>
  <si>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</si>
  <si>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</si>
  <si>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</si>
  <si>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</si>
  <si>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</si>
  <si>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</si>
  <si>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</si>
  <si>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</si>
  <si>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</si>
  <si>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</si>
  <si>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</si>
  <si>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</si>
  <si>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</si>
  <si>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</si>
  <si>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</si>
  <si>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</si>
  <si>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</si>
  <si>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</si>
  <si>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</si>
  <si>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</si>
  <si>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</si>
  <si>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</si>
  <si>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</si>
  <si>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</si>
  <si>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</si>
  <si>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</si>
  <si>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</si>
  <si>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</si>
  <si>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</si>
  <si>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</si>
  <si>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</si>
  <si>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</si>
  <si>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</si>
  <si>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</si>
  <si>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</si>
  <si>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</si>
  <si>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</si>
  <si>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</si>
  <si>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</si>
  <si>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</si>
  <si>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</si>
  <si>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</si>
  <si>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</si>
  <si>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</si>
  <si>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</si>
  <si>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</si>
  <si>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</si>
  <si>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</si>
  <si>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</si>
  <si>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</si>
  <si>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</si>
  <si>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</si>
  <si>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</si>
  <si>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</si>
  <si>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</si>
  <si>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</si>
  <si>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</si>
  <si>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</si>
  <si>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</si>
  <si>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</si>
  <si>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</si>
  <si>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</si>
  <si>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</si>
  <si>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</si>
  <si>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</si>
  <si>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</si>
  <si>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</si>
  <si>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</si>
  <si>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</si>
  <si>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</si>
  <si>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</si>
  <si>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</si>
  <si>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</si>
  <si>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</si>
  <si>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</si>
  <si>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</si>
  <si>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</si>
  <si>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</si>
  <si>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</si>
  <si>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</si>
  <si>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</si>
  <si>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</si>
  <si>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</si>
  <si>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</si>
  <si>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</si>
  <si>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</si>
  <si>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</si>
  <si>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</si>
  <si>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</si>
  <si>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</si>
  <si>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</si>
  <si>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</si>
  <si>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</si>
  <si>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</si>
  <si>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</si>
  <si>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</si>
  <si>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</si>
  <si>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</si>
  <si>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</si>
  <si>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</si>
  <si>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</si>
  <si>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</si>
  <si>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</si>
  <si>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2587</t>
  </si>
  <si>
    <t>26526333</t>
  </si>
  <si>
    <t>АО  «Белгородская теплосетевая компания»</t>
  </si>
  <si>
    <t>3123169468</t>
  </si>
  <si>
    <t>312350001</t>
  </si>
  <si>
    <t>06-12-2007 00:00:00</t>
  </si>
  <si>
    <t>23-10-2023 00:00:00</t>
  </si>
  <si>
    <t>31312451</t>
  </si>
  <si>
    <t>АО "Алексеевская сервисно-сбытовая компания"</t>
  </si>
  <si>
    <t>3122015264</t>
  </si>
  <si>
    <t>312201001</t>
  </si>
  <si>
    <t>31312427</t>
  </si>
  <si>
    <t>АО "Алексеевская теплосетевая компания"</t>
  </si>
  <si>
    <t>3122015257</t>
  </si>
  <si>
    <t>28830373</t>
  </si>
  <si>
    <t>АО "Белгороднефтепродукт"</t>
  </si>
  <si>
    <t>3123001345</t>
  </si>
  <si>
    <t>31046156</t>
  </si>
  <si>
    <t>АО "Белгородская региональная теплосетевая компания"</t>
  </si>
  <si>
    <t>3102041957</t>
  </si>
  <si>
    <t>310201001</t>
  </si>
  <si>
    <t>01-02-2018 00:00:00</t>
  </si>
  <si>
    <t>31228037</t>
  </si>
  <si>
    <t>АО "Борисовская теплосетевая компания"</t>
  </si>
  <si>
    <t>3103006137</t>
  </si>
  <si>
    <t>310301001</t>
  </si>
  <si>
    <t>28796046</t>
  </si>
  <si>
    <t>АО "ГТ Энерго"</t>
  </si>
  <si>
    <t>7703806647</t>
  </si>
  <si>
    <t>772801001</t>
  </si>
  <si>
    <t>30335229</t>
  </si>
  <si>
    <t>АО "ГУ ЖКХ"</t>
  </si>
  <si>
    <t>5116000922</t>
  </si>
  <si>
    <t>770401001</t>
  </si>
  <si>
    <t>26319211</t>
  </si>
  <si>
    <t>АО "Гормаш"</t>
  </si>
  <si>
    <t>3124013819</t>
  </si>
  <si>
    <t>31324291</t>
  </si>
  <si>
    <t>АО "Грайворон - теплоэнерго"</t>
  </si>
  <si>
    <t>3108008748</t>
  </si>
  <si>
    <t>310801001</t>
  </si>
  <si>
    <t>03-06-2019 00:00:00</t>
  </si>
  <si>
    <t>28097141</t>
  </si>
  <si>
    <t>АО "Дирекция по развитию промышленных зон"</t>
  </si>
  <si>
    <t>3123190205</t>
  </si>
  <si>
    <t>31228066</t>
  </si>
  <si>
    <t>АО "Ивнянская теплосетевая компания"</t>
  </si>
  <si>
    <t>3109005877</t>
  </si>
  <si>
    <t>310901001</t>
  </si>
  <si>
    <t>26540696</t>
  </si>
  <si>
    <t>АО "КФ "Славянка"</t>
  </si>
  <si>
    <t>3128001300</t>
  </si>
  <si>
    <t>312800001</t>
  </si>
  <si>
    <t>26526453</t>
  </si>
  <si>
    <t>АО "Квадра" (АО "Квадра" - "Белгородская генерация")</t>
  </si>
  <si>
    <t>6829012680</t>
  </si>
  <si>
    <t>312343001</t>
  </si>
  <si>
    <t>31324507</t>
  </si>
  <si>
    <t>АО "Красненские тепловые сети"</t>
  </si>
  <si>
    <t>3112004778</t>
  </si>
  <si>
    <t>311201001</t>
  </si>
  <si>
    <t>01-06-2019 00:00:00</t>
  </si>
  <si>
    <t>26319213</t>
  </si>
  <si>
    <t>АО "Лебединский горно-обогатительный комбинат"</t>
  </si>
  <si>
    <t>3127000014</t>
  </si>
  <si>
    <t>997550001</t>
  </si>
  <si>
    <t>26466720</t>
  </si>
  <si>
    <t>АО "ОЗММ"</t>
  </si>
  <si>
    <t>3128005590</t>
  </si>
  <si>
    <t>312801001</t>
  </si>
  <si>
    <t>26319223</t>
  </si>
  <si>
    <t>АО "ОЭМК им. А.А. Угарова"</t>
  </si>
  <si>
    <t>3128005752</t>
  </si>
  <si>
    <t>26838066</t>
  </si>
  <si>
    <t>АО "РЭУ"</t>
  </si>
  <si>
    <t>7714783092</t>
  </si>
  <si>
    <t>31312461</t>
  </si>
  <si>
    <t>АО "Районная теплосетевая компания"</t>
  </si>
  <si>
    <t>3122015240</t>
  </si>
  <si>
    <t>31215085</t>
  </si>
  <si>
    <t>АО "Ракитянская теплосетевая компания"</t>
  </si>
  <si>
    <t>3116006991</t>
  </si>
  <si>
    <t>311601001</t>
  </si>
  <si>
    <t>31228116</t>
  </si>
  <si>
    <t>АО "Ровеньские тепловые сети"</t>
  </si>
  <si>
    <t>3117012726</t>
  </si>
  <si>
    <t>311701001</t>
  </si>
  <si>
    <t>26319215</t>
  </si>
  <si>
    <t>АО "Стойленский горно-обогатительный комбинат"</t>
  </si>
  <si>
    <t>3128011788</t>
  </si>
  <si>
    <t>31309593</t>
  </si>
  <si>
    <t>АО "Тепловая компания"</t>
  </si>
  <si>
    <t>3114011629</t>
  </si>
  <si>
    <t>311401001</t>
  </si>
  <si>
    <t>31286929</t>
  </si>
  <si>
    <t>АО "Теплоком"</t>
  </si>
  <si>
    <t>3119009207</t>
  </si>
  <si>
    <t>311901001</t>
  </si>
  <si>
    <t>31398256</t>
  </si>
  <si>
    <t>АО "Теплоэнергетик Прохоровского района"</t>
  </si>
  <si>
    <t>3115007618</t>
  </si>
  <si>
    <t>311501001</t>
  </si>
  <si>
    <t>30358310</t>
  </si>
  <si>
    <t>АО "ЭФКО"</t>
  </si>
  <si>
    <t>3122000300</t>
  </si>
  <si>
    <t>12-11-2015 00:00:00</t>
  </si>
  <si>
    <t>26319226</t>
  </si>
  <si>
    <t>АО СЗ "КМАпроектжилстрой"</t>
  </si>
  <si>
    <t>3128001437</t>
  </si>
  <si>
    <t>26540724</t>
  </si>
  <si>
    <t>БГТУ им.Шухова</t>
  </si>
  <si>
    <t>3123017793</t>
  </si>
  <si>
    <t>26521231</t>
  </si>
  <si>
    <t>Белгородский территориальный участок Юго-Восточной дирекции по тепловодоснабжению - структурного подразделения Центральной дирекции по тепловодоснабжению - филиала ОАО "РЖД"</t>
  </si>
  <si>
    <t>7708503727</t>
  </si>
  <si>
    <t>312345029</t>
  </si>
  <si>
    <t>26821504</t>
  </si>
  <si>
    <t>Воронежский территориальный участок Юго-Восточной дирекции по тепловодоснабжению - структурное подразделение Центральной дирекции по тепловодоснабжению - филиала ОАО "РЖД"</t>
  </si>
  <si>
    <t>366145016</t>
  </si>
  <si>
    <t>09-12-2011 00:00:00</t>
  </si>
  <si>
    <t>26466640</t>
  </si>
  <si>
    <t>ЗАО "Алексеевский молочноконсервный комбинат"</t>
  </si>
  <si>
    <t>3122000035</t>
  </si>
  <si>
    <t>28796070</t>
  </si>
  <si>
    <t>ЗАО "Племзавод "Разуменский"</t>
  </si>
  <si>
    <t>3102003292</t>
  </si>
  <si>
    <t>26319224</t>
  </si>
  <si>
    <t>ЗАО "Строительный центр"</t>
  </si>
  <si>
    <t>3128032361</t>
  </si>
  <si>
    <t>31746757</t>
  </si>
  <si>
    <t>МБУ "Уразовское благоустройство"</t>
  </si>
  <si>
    <t>3126019439</t>
  </si>
  <si>
    <t>312601001</t>
  </si>
  <si>
    <t>МИНИСТЕРСТВО ЖИЛИЩНО-КОММУНАЛЬНОГО ХОЗЯЙСТВА БЕЛГОРОДСКОЙ ОБЛАСТИ</t>
  </si>
  <si>
    <t>3123368978</t>
  </si>
  <si>
    <t>26466834</t>
  </si>
  <si>
    <t>МУП "Валуйское многоотраслевое объединение городского коммунального хозяйства"</t>
  </si>
  <si>
    <t>3126010475</t>
  </si>
  <si>
    <t>26540614</t>
  </si>
  <si>
    <t>МУП "Тепловик"</t>
  </si>
  <si>
    <t>3110008865</t>
  </si>
  <si>
    <t>311001001</t>
  </si>
  <si>
    <t>26355734</t>
  </si>
  <si>
    <t>ОАО "Белмолпродукт"</t>
  </si>
  <si>
    <t>3125007871</t>
  </si>
  <si>
    <t>07-02-2024 00:00:00</t>
  </si>
  <si>
    <t>26540684</t>
  </si>
  <si>
    <t>ОАО "Старооскольский механический завод"</t>
  </si>
  <si>
    <t>3128000345</t>
  </si>
  <si>
    <t>26540642</t>
  </si>
  <si>
    <t>ОАО "Теплоэнерго"</t>
  </si>
  <si>
    <t>3128089632</t>
  </si>
  <si>
    <t>26466718</t>
  </si>
  <si>
    <t>ООО "БЕЛГОРСОЛОД"</t>
  </si>
  <si>
    <t>3123163716</t>
  </si>
  <si>
    <t>01-06-2008 00:00:00</t>
  </si>
  <si>
    <t>26319219</t>
  </si>
  <si>
    <t>ООО "Белгородская сетевая компания"</t>
  </si>
  <si>
    <t>3123057563</t>
  </si>
  <si>
    <t>28073276</t>
  </si>
  <si>
    <t>ООО "Белгородский консервный комбинат"</t>
  </si>
  <si>
    <t>3123078080</t>
  </si>
  <si>
    <t>31563977</t>
  </si>
  <si>
    <t>ООО "Белгородстройзаказчик-ЖКХ"</t>
  </si>
  <si>
    <t>3123484269</t>
  </si>
  <si>
    <t>27545553</t>
  </si>
  <si>
    <t>ООО "Белрегионтеплоэнерго"</t>
  </si>
  <si>
    <t>3123088748</t>
  </si>
  <si>
    <t>312101001</t>
  </si>
  <si>
    <t>26651938</t>
  </si>
  <si>
    <t>ООО "Белэнергомаш-БЗЭМ"</t>
  </si>
  <si>
    <t>3123315768</t>
  </si>
  <si>
    <t>785050001</t>
  </si>
  <si>
    <t>06-03-2009 00:00:00</t>
  </si>
  <si>
    <t>30912965</t>
  </si>
  <si>
    <t>ООО "Бирюченская тепловая компания"</t>
  </si>
  <si>
    <t>3111006250</t>
  </si>
  <si>
    <t>311101001</t>
  </si>
  <si>
    <t>31304663</t>
  </si>
  <si>
    <t>ООО "Вейделевские тепловые сети"</t>
  </si>
  <si>
    <t>3105004689</t>
  </si>
  <si>
    <t>310501001</t>
  </si>
  <si>
    <t>26823245</t>
  </si>
  <si>
    <t>ООО "Дмитротарановский сахарный завод"</t>
  </si>
  <si>
    <t>3102022471</t>
  </si>
  <si>
    <t>31205396</t>
  </si>
  <si>
    <t>ООО "Дубрава Строй Сервис"</t>
  </si>
  <si>
    <t>3123356281</t>
  </si>
  <si>
    <t>28435840</t>
  </si>
  <si>
    <t>ООО "Жилищное управление-ЖБК-1"</t>
  </si>
  <si>
    <t>3123148080</t>
  </si>
  <si>
    <t>26568736</t>
  </si>
  <si>
    <t>ООО "Комбинат строительных материалов"</t>
  </si>
  <si>
    <t>3128077281</t>
  </si>
  <si>
    <t>17-06-2010 00:00:00</t>
  </si>
  <si>
    <t>26619776</t>
  </si>
  <si>
    <t>ООО "Красногвардейские тепловые сети"</t>
  </si>
  <si>
    <t>3111505860</t>
  </si>
  <si>
    <t>31229947</t>
  </si>
  <si>
    <t>ООО "Краснояружские тепловые сети"</t>
  </si>
  <si>
    <t>3113002251</t>
  </si>
  <si>
    <t>311301001</t>
  </si>
  <si>
    <t>31204483</t>
  </si>
  <si>
    <t>ООО "МАРС"</t>
  </si>
  <si>
    <t>3123356348</t>
  </si>
  <si>
    <t>26610888</t>
  </si>
  <si>
    <t>ООО "Региональная генерирующая компания"</t>
  </si>
  <si>
    <t>3123152986</t>
  </si>
  <si>
    <t>31508114</t>
  </si>
  <si>
    <t>ООО "Рубикон-ТТ Проект"</t>
  </si>
  <si>
    <t>3123468732</t>
  </si>
  <si>
    <t>30395052</t>
  </si>
  <si>
    <t>ООО "СОЭК"</t>
  </si>
  <si>
    <t>3128058144</t>
  </si>
  <si>
    <t>27815216</t>
  </si>
  <si>
    <t>ООО "УК"Тальвег"</t>
  </si>
  <si>
    <t>3123164830</t>
  </si>
  <si>
    <t>26651971</t>
  </si>
  <si>
    <t>ООО "Цитробел"</t>
  </si>
  <si>
    <t>3123189383</t>
  </si>
  <si>
    <t>31341005</t>
  </si>
  <si>
    <t>ООО "Шебекинские тепловые сети"</t>
  </si>
  <si>
    <t>3120104102</t>
  </si>
  <si>
    <t>312001001</t>
  </si>
  <si>
    <t>30833091</t>
  </si>
  <si>
    <t>ООО "Энергосервисная компания ЖБК-1"</t>
  </si>
  <si>
    <t>3123389689</t>
  </si>
  <si>
    <t>26540598</t>
  </si>
  <si>
    <t>ООО РИТЭК</t>
  </si>
  <si>
    <t>3120086767</t>
  </si>
  <si>
    <t>26619778</t>
  </si>
  <si>
    <t>ООО Управляющая компания "СИРИУС"</t>
  </si>
  <si>
    <t>3123095914</t>
  </si>
  <si>
    <t>28795205</t>
  </si>
  <si>
    <t>ООО Энергосервисная компания "СИРИУС"</t>
  </si>
  <si>
    <t>3123344670</t>
  </si>
  <si>
    <t>30366049</t>
  </si>
  <si>
    <t>ОП "Воронежское" АО "ГУ ЖКХ"</t>
  </si>
  <si>
    <t>366445001</t>
  </si>
  <si>
    <t>21-10-2015 00:00:00</t>
  </si>
  <si>
    <t>26319208</t>
  </si>
  <si>
    <t>ПАО " БЕЛГОРОДАСБЕСТОЦЕМЕНТ"</t>
  </si>
  <si>
    <t>3123004089</t>
  </si>
  <si>
    <t>УПРАВЛЕНИЕ ПО ГОСУДАРСТВЕННОМУ РЕГУЛИРОВАНИЮ ЦЕН И ТАРИФОВ В БЕЛГОРОДСКОЙ ОБЛАСТИ</t>
  </si>
  <si>
    <t>3123134810</t>
  </si>
  <si>
    <t>31170621</t>
  </si>
  <si>
    <t>ФКУ ИК-5 УФСИН России по Белгородской области</t>
  </si>
  <si>
    <t>3125008723</t>
  </si>
  <si>
    <t>26361059</t>
  </si>
  <si>
    <t>Филиал АО "Верофарм" в г. Белгороде</t>
  </si>
  <si>
    <t>7725081786</t>
  </si>
  <si>
    <t>312302001</t>
  </si>
  <si>
    <t>27135237</t>
  </si>
  <si>
    <t>Филиал ОАО "РЭУ" "Курский"</t>
  </si>
  <si>
    <t>463243001</t>
  </si>
  <si>
    <t>30941480</t>
  </si>
  <si>
    <t>Филиал ФГБУ "ЦЖКУ" Минобороны России по ЗВО</t>
  </si>
  <si>
    <t>7729314745</t>
  </si>
  <si>
    <t>784243001</t>
  </si>
  <si>
    <t>30903763</t>
  </si>
  <si>
    <t>ФГБУ "ЦЖКУ" МИНОБОРОНЫ РОССИИ</t>
  </si>
  <si>
    <t>770101001</t>
  </si>
  <si>
    <t>26560525</t>
  </si>
  <si>
    <t>511601001</t>
  </si>
  <si>
    <t>13-05-2009 00:00:00</t>
  </si>
  <si>
    <t>26466706</t>
  </si>
  <si>
    <t>АО "Комбинат КМАруда"</t>
  </si>
  <si>
    <t>3127000021</t>
  </si>
  <si>
    <t>424950001</t>
  </si>
  <si>
    <t>27972927</t>
  </si>
  <si>
    <t>АО "Яснозоренское"</t>
  </si>
  <si>
    <t>3102018098</t>
  </si>
  <si>
    <t>31338890</t>
  </si>
  <si>
    <t>ГУП "Губкин Сервис"</t>
  </si>
  <si>
    <t>3127017628</t>
  </si>
  <si>
    <t>312701001</t>
  </si>
  <si>
    <t>01-03-2023 00:00:00</t>
  </si>
  <si>
    <t>31350483</t>
  </si>
  <si>
    <t>ГУП "Старооскольский водоканал"</t>
  </si>
  <si>
    <t>3128143304</t>
  </si>
  <si>
    <t>01-02-2024 00:00:00</t>
  </si>
  <si>
    <t>26319206</t>
  </si>
  <si>
    <t>ЗАО "Белгородский цемент"</t>
  </si>
  <si>
    <t>3123003920</t>
  </si>
  <si>
    <t>26824580</t>
  </si>
  <si>
    <t>ЗАО "Должанское"</t>
  </si>
  <si>
    <t>3105000250</t>
  </si>
  <si>
    <t>26319205</t>
  </si>
  <si>
    <t>ЗАО "Спецэнерго"</t>
  </si>
  <si>
    <t>3128025082</t>
  </si>
  <si>
    <t>26824577</t>
  </si>
  <si>
    <t>ЗАО имени Кирова</t>
  </si>
  <si>
    <t>3105000010</t>
  </si>
  <si>
    <t>26466660</t>
  </si>
  <si>
    <t>КФХ глава ИП Колесникова Е.В.</t>
  </si>
  <si>
    <t>310900808660</t>
  </si>
  <si>
    <t>27-03-2023 00:00:00</t>
  </si>
  <si>
    <t>26466670</t>
  </si>
  <si>
    <t>МУП "Коммунальщик" Ровеньский</t>
  </si>
  <si>
    <t>3117004757</t>
  </si>
  <si>
    <t>08-02-2022 00:00:00</t>
  </si>
  <si>
    <t>27952184</t>
  </si>
  <si>
    <t>ОАО "Белмолпродукт" ОП Волоконовский консервный комбинат"</t>
  </si>
  <si>
    <t>310645001</t>
  </si>
  <si>
    <t>25-02-2011 00:00:00</t>
  </si>
  <si>
    <t>26466692</t>
  </si>
  <si>
    <t>ОАО "Завод ЖБК-1"</t>
  </si>
  <si>
    <t>3123093988</t>
  </si>
  <si>
    <t>27674831</t>
  </si>
  <si>
    <t>ОАО "Машиностроитель"</t>
  </si>
  <si>
    <t>3111000435</t>
  </si>
  <si>
    <t>26622015</t>
  </si>
  <si>
    <t>ОГАПОУ  "Ютановский агромеханический техникум им. Е.П. Ковалевского"</t>
  </si>
  <si>
    <t>3106001930</t>
  </si>
  <si>
    <t>310601001</t>
  </si>
  <si>
    <t>26466638</t>
  </si>
  <si>
    <t>ООО "Биохим-Сервис"</t>
  </si>
  <si>
    <t>3120011056</t>
  </si>
  <si>
    <t>28-12-2023 00:00:00</t>
  </si>
  <si>
    <t>26466622</t>
  </si>
  <si>
    <t>ООО "Вода"</t>
  </si>
  <si>
    <t>3108007159</t>
  </si>
  <si>
    <t>27285552</t>
  </si>
  <si>
    <t>ООО "Вода" Борисовская</t>
  </si>
  <si>
    <t>3103005197</t>
  </si>
  <si>
    <t>26466678</t>
  </si>
  <si>
    <t>ООО "Возрождение"</t>
  </si>
  <si>
    <t>3111004207</t>
  </si>
  <si>
    <t>26621402</t>
  </si>
  <si>
    <t>ООО "ИвняВодСервис"</t>
  </si>
  <si>
    <t>3109005073</t>
  </si>
  <si>
    <t>26466614</t>
  </si>
  <si>
    <t>ООО "Красногвардейский водоканал"</t>
  </si>
  <si>
    <t>3111504721</t>
  </si>
  <si>
    <t>31448446</t>
  </si>
  <si>
    <t>ООО "МПЗ Агро-Белогорье"</t>
  </si>
  <si>
    <t>3123183960</t>
  </si>
  <si>
    <t>30942606</t>
  </si>
  <si>
    <t>ООО "РУСАГРО-БЕЛГОРОД"-Филиал "Чернянский"</t>
  </si>
  <si>
    <t>3126019943</t>
  </si>
  <si>
    <t>311943001</t>
  </si>
  <si>
    <t>26756178</t>
  </si>
  <si>
    <t>ООО "Ракитянский водсервис"</t>
  </si>
  <si>
    <t>3116006085</t>
  </si>
  <si>
    <t>02-06-2010 00:00:00</t>
  </si>
  <si>
    <t>30921702</t>
  </si>
  <si>
    <t>ООО "Русагро-Белгород"- Филиал "Ника"</t>
  </si>
  <si>
    <t>26466688</t>
  </si>
  <si>
    <t>ООО "УК "Пятницкое"</t>
  </si>
  <si>
    <t>3106006583</t>
  </si>
  <si>
    <t>31346634</t>
  </si>
  <si>
    <t>ООО "УК "Русь"</t>
  </si>
  <si>
    <t>3123356500</t>
  </si>
  <si>
    <t>31449928</t>
  </si>
  <si>
    <t>ООО "УК"СтандартПромПарк"</t>
  </si>
  <si>
    <t>3123455420</t>
  </si>
  <si>
    <t>31448454</t>
  </si>
  <si>
    <t>ООО "Яковлевский комбикормовый завод"</t>
  </si>
  <si>
    <t>3121000762</t>
  </si>
  <si>
    <t>31193801</t>
  </si>
  <si>
    <t>ОСП АО "Росспиртпром" "ВЕСЕЛАЯ ЛОПАНЬ"</t>
  </si>
  <si>
    <t>7730605160</t>
  </si>
  <si>
    <t>310245001</t>
  </si>
  <si>
    <t>26466682</t>
  </si>
  <si>
    <t>Общество с ограниченной ответственностью "Водсервис"</t>
  </si>
  <si>
    <t>3113001385</t>
  </si>
  <si>
    <t>26466632</t>
  </si>
  <si>
    <t>СПК "Большевик"</t>
  </si>
  <si>
    <t>3111000770</t>
  </si>
  <si>
    <t>30843068</t>
  </si>
  <si>
    <t>СПК "Колхоз имени Горина"</t>
  </si>
  <si>
    <t>3102003214</t>
  </si>
  <si>
    <t>31402403</t>
  </si>
  <si>
    <t>ЗАО "Томаровский мясокомбинат"</t>
  </si>
  <si>
    <t>3121070086</t>
  </si>
  <si>
    <t>26466754</t>
  </si>
  <si>
    <t>ООО "Коммунальщик-Л"</t>
  </si>
  <si>
    <t>3120011592</t>
  </si>
  <si>
    <t>31226945</t>
  </si>
  <si>
    <t>ООО "Экологические системы"</t>
  </si>
  <si>
    <t>3117012684</t>
  </si>
  <si>
    <t>31706565</t>
  </si>
  <si>
    <t>АО "СОАТЭ"</t>
  </si>
  <si>
    <t>3128000673</t>
  </si>
  <si>
    <t>28489622</t>
  </si>
  <si>
    <t>МАУ "Коммунальная служба сервиса"</t>
  </si>
  <si>
    <t>3120012187</t>
  </si>
  <si>
    <t>31713383</t>
  </si>
  <si>
    <t>МАУ "Экосервис"</t>
  </si>
  <si>
    <t>3100025501</t>
  </si>
  <si>
    <t>310001001</t>
  </si>
  <si>
    <t>31706508</t>
  </si>
  <si>
    <t>МБУ "СГМПО КХ"</t>
  </si>
  <si>
    <t>3128142364</t>
  </si>
  <si>
    <t>28145530</t>
  </si>
  <si>
    <t>МУП "Благоустройство и озеленение"</t>
  </si>
  <si>
    <t>3116006342</t>
  </si>
  <si>
    <t>18-05-2023 00:00:00</t>
  </si>
  <si>
    <t>26466842</t>
  </si>
  <si>
    <t>3119007200</t>
  </si>
  <si>
    <t>17-11-2023 00:00:00</t>
  </si>
  <si>
    <t>26466846</t>
  </si>
  <si>
    <t>МУП "Жилищно-коммунальное хозяйство"</t>
  </si>
  <si>
    <t>3114009595</t>
  </si>
  <si>
    <t>26466864</t>
  </si>
  <si>
    <t>МУП БОЖФ "Волоконовское"</t>
  </si>
  <si>
    <t>3106005519</t>
  </si>
  <si>
    <t>31706456</t>
  </si>
  <si>
    <t>ООО "БЛАГОСТРОЙ-ДВОР"</t>
  </si>
  <si>
    <t>3123170833</t>
  </si>
  <si>
    <t>31706498</t>
  </si>
  <si>
    <t>ООО "ДРЭП ДСК 2005"</t>
  </si>
  <si>
    <t>3123125559</t>
  </si>
  <si>
    <t>31701091</t>
  </si>
  <si>
    <t>ООО "ЕВРОЛОГИСТИК"</t>
  </si>
  <si>
    <t>3102635767</t>
  </si>
  <si>
    <t>31423847</t>
  </si>
  <si>
    <t>ООО "Коммунальщик п. Вейделевка"</t>
  </si>
  <si>
    <t>3105004752</t>
  </si>
  <si>
    <t>31706503</t>
  </si>
  <si>
    <t>ООО "ЛОГИСТАВТО"</t>
  </si>
  <si>
    <t>3128149955</t>
  </si>
  <si>
    <t>26466858</t>
  </si>
  <si>
    <t>ООО "Спецэкотранс"</t>
  </si>
  <si>
    <t>3122506819</t>
  </si>
  <si>
    <t>31706819</t>
  </si>
  <si>
    <t>ООО "УК "Стройэксплуатация"</t>
  </si>
  <si>
    <t>3123185660</t>
  </si>
  <si>
    <t>31706683</t>
  </si>
  <si>
    <t>ООО "УК Аспект"</t>
  </si>
  <si>
    <t>3123106588</t>
  </si>
  <si>
    <t>31706806</t>
  </si>
  <si>
    <t>ООО "УК ЖКО-25"</t>
  </si>
  <si>
    <t>3123198540</t>
  </si>
  <si>
    <t>31706823</t>
  </si>
  <si>
    <t>ООО "Управляющая компания - 14"</t>
  </si>
  <si>
    <t>3123106620</t>
  </si>
  <si>
    <t>30933855</t>
  </si>
  <si>
    <t>ООО "Флагман"</t>
  </si>
  <si>
    <t>3123334834</t>
  </si>
  <si>
    <t>31218595</t>
  </si>
  <si>
    <t>ООО "ЦЭБ"</t>
  </si>
  <si>
    <t>3114011097</t>
  </si>
  <si>
    <t>27951897</t>
  </si>
  <si>
    <t>ООО "Центр ЖКУ "Грайворонский"</t>
  </si>
  <si>
    <t>3108007857</t>
  </si>
  <si>
    <t>28-09-2012 00:00:00</t>
  </si>
  <si>
    <t>31004711</t>
  </si>
  <si>
    <t>ООО "Экотранс-С"</t>
  </si>
  <si>
    <t>3123151206</t>
  </si>
  <si>
    <t>31268590</t>
  </si>
  <si>
    <t>ООО «Регион Цемент»</t>
  </si>
  <si>
    <t>3102015932</t>
  </si>
  <si>
    <t>31706675</t>
  </si>
  <si>
    <t>ООО «СП ДСК "Центр"</t>
  </si>
  <si>
    <t>3123298897</t>
  </si>
  <si>
    <t>26466862</t>
  </si>
  <si>
    <t>ООО ТК "Экотранс"</t>
  </si>
  <si>
    <t>3123084038</t>
  </si>
  <si>
    <t>31706549</t>
  </si>
  <si>
    <t>ООО УК "СервисДом-20"</t>
  </si>
  <si>
    <t>3123357207</t>
  </si>
  <si>
    <t>NSRF</t>
  </si>
  <si>
    <t>MR_NAME</t>
  </si>
  <si>
    <t>OKTMO_MR_NAME</t>
  </si>
  <si>
    <t>MO_NAME</t>
  </si>
  <si>
    <t>OKTMO_NAME</t>
  </si>
  <si>
    <t>TYPE</t>
  </si>
  <si>
    <t>MR_ID</t>
  </si>
  <si>
    <t>городской округ</t>
  </si>
  <si>
    <t>муниципальный район</t>
  </si>
  <si>
    <t>Беловское</t>
  </si>
  <si>
    <t>14610492</t>
  </si>
  <si>
    <t>сельское поселение</t>
  </si>
  <si>
    <t>Беломестненское</t>
  </si>
  <si>
    <t>14610404</t>
  </si>
  <si>
    <t>Бессоновское</t>
  </si>
  <si>
    <t>14610408</t>
  </si>
  <si>
    <t>Веселолопанское</t>
  </si>
  <si>
    <t>14610424</t>
  </si>
  <si>
    <t>Головинское</t>
  </si>
  <si>
    <t>14610428</t>
  </si>
  <si>
    <t>Дубовское</t>
  </si>
  <si>
    <t>14610476</t>
  </si>
  <si>
    <t>Ериковское</t>
  </si>
  <si>
    <t>14610430</t>
  </si>
  <si>
    <t>Журавлевское</t>
  </si>
  <si>
    <t>14610432</t>
  </si>
  <si>
    <t>Комсомольское</t>
  </si>
  <si>
    <t>14610435</t>
  </si>
  <si>
    <t>Краснооктябрьское</t>
  </si>
  <si>
    <t>14610436</t>
  </si>
  <si>
    <t>Крутологское</t>
  </si>
  <si>
    <t>14610446</t>
  </si>
  <si>
    <t>Майское</t>
  </si>
  <si>
    <t>14610450</t>
  </si>
  <si>
    <t>Малиновское</t>
  </si>
  <si>
    <t>14610456</t>
  </si>
  <si>
    <t>Никольское</t>
  </si>
  <si>
    <t>14610452</t>
  </si>
  <si>
    <t>Новосадовское</t>
  </si>
  <si>
    <t>14610453</t>
  </si>
  <si>
    <t>Пушкарское</t>
  </si>
  <si>
    <t>14610460</t>
  </si>
  <si>
    <t>Стрелецкое</t>
  </si>
  <si>
    <t>14610472</t>
  </si>
  <si>
    <t>Тавровское</t>
  </si>
  <si>
    <t>14610474</t>
  </si>
  <si>
    <t>Хохловское</t>
  </si>
  <si>
    <t>14610475</t>
  </si>
  <si>
    <t>Щетиновское</t>
  </si>
  <si>
    <t>14610488</t>
  </si>
  <si>
    <t>Яснозоренское</t>
  </si>
  <si>
    <t>14610490</t>
  </si>
  <si>
    <t>поселок Октябрьский</t>
  </si>
  <si>
    <t>14610160</t>
  </si>
  <si>
    <t>городское поселение, в состав которого входит поселок</t>
  </si>
  <si>
    <t>поселок Разумное</t>
  </si>
  <si>
    <t>14610165</t>
  </si>
  <si>
    <t>поселок Северный</t>
  </si>
  <si>
    <t>14610167</t>
  </si>
  <si>
    <t>Акулиновское</t>
  </si>
  <si>
    <t>14615404</t>
  </si>
  <si>
    <t>Белянское</t>
  </si>
  <si>
    <t>14615416</t>
  </si>
  <si>
    <t>Березовское</t>
  </si>
  <si>
    <t>14615420</t>
  </si>
  <si>
    <t>Грузсчанское</t>
  </si>
  <si>
    <t>14615432</t>
  </si>
  <si>
    <t>Краснокутское</t>
  </si>
  <si>
    <t>14615448</t>
  </si>
  <si>
    <t>Крюковское</t>
  </si>
  <si>
    <t>14615464</t>
  </si>
  <si>
    <t>Октябрьско-Готнянское</t>
  </si>
  <si>
    <t>14615476</t>
  </si>
  <si>
    <t>Стригуновское</t>
  </si>
  <si>
    <t>14615488</t>
  </si>
  <si>
    <t>Хотмыжское</t>
  </si>
  <si>
    <t>14615492</t>
  </si>
  <si>
    <t>поселок Борисовка</t>
  </si>
  <si>
    <t>14615151</t>
  </si>
  <si>
    <t>Белоколодезское</t>
  </si>
  <si>
    <t>14625404</t>
  </si>
  <si>
    <t>Большелипяговское</t>
  </si>
  <si>
    <t>14625408</t>
  </si>
  <si>
    <t>Викторопольское</t>
  </si>
  <si>
    <t>14625412</t>
  </si>
  <si>
    <t>Должанское</t>
  </si>
  <si>
    <t>14625416</t>
  </si>
  <si>
    <t>Закутчанское</t>
  </si>
  <si>
    <t>14625420</t>
  </si>
  <si>
    <t>Зенинское</t>
  </si>
  <si>
    <t>14625424</t>
  </si>
  <si>
    <t>Клименковское</t>
  </si>
  <si>
    <t>14625428</t>
  </si>
  <si>
    <t>Кубраковское</t>
  </si>
  <si>
    <t>14625432</t>
  </si>
  <si>
    <t>Малакеевское</t>
  </si>
  <si>
    <t>14625436</t>
  </si>
  <si>
    <t>Николаевское</t>
  </si>
  <si>
    <t>14625440</t>
  </si>
  <si>
    <t>Солонцинское</t>
  </si>
  <si>
    <t>14625449</t>
  </si>
  <si>
    <t>поселок Вейделевка</t>
  </si>
  <si>
    <t>14625151</t>
  </si>
  <si>
    <t>Борисовское</t>
  </si>
  <si>
    <t>14630404</t>
  </si>
  <si>
    <t>Волчье-Александровское</t>
  </si>
  <si>
    <t>14630408</t>
  </si>
  <si>
    <t>Голофеевское</t>
  </si>
  <si>
    <t>14630412</t>
  </si>
  <si>
    <t>Грушевское</t>
  </si>
  <si>
    <t>14630416</t>
  </si>
  <si>
    <t>Погромское</t>
  </si>
  <si>
    <t>14630420</t>
  </si>
  <si>
    <t>Покровское</t>
  </si>
  <si>
    <t>14630424</t>
  </si>
  <si>
    <t>Поселок Пятницкое</t>
  </si>
  <si>
    <t>14630162</t>
  </si>
  <si>
    <t>Репьевское</t>
  </si>
  <si>
    <t>14630428</t>
  </si>
  <si>
    <t>60</t>
  </si>
  <si>
    <t>Староивановское</t>
  </si>
  <si>
    <t>14630432</t>
  </si>
  <si>
    <t>61</t>
  </si>
  <si>
    <t>Тишанское</t>
  </si>
  <si>
    <t>14630436</t>
  </si>
  <si>
    <t>62</t>
  </si>
  <si>
    <t>Фощеватовское</t>
  </si>
  <si>
    <t>14630440</t>
  </si>
  <si>
    <t>63</t>
  </si>
  <si>
    <t>Шидловское</t>
  </si>
  <si>
    <t>14630444</t>
  </si>
  <si>
    <t>64</t>
  </si>
  <si>
    <t>Ютановское</t>
  </si>
  <si>
    <t>14630448</t>
  </si>
  <si>
    <t>65</t>
  </si>
  <si>
    <t>поселок Волоконовка</t>
  </si>
  <si>
    <t>14630151</t>
  </si>
  <si>
    <t>Губкинский городской округ</t>
  </si>
  <si>
    <t>14730000</t>
  </si>
  <si>
    <t>Богатенское</t>
  </si>
  <si>
    <t>14638406</t>
  </si>
  <si>
    <t>69</t>
  </si>
  <si>
    <t>Верхопенское</t>
  </si>
  <si>
    <t>14638408</t>
  </si>
  <si>
    <t>70</t>
  </si>
  <si>
    <t>Владимировское</t>
  </si>
  <si>
    <t>14638410</t>
  </si>
  <si>
    <t>71</t>
  </si>
  <si>
    <t>Вознесеновское</t>
  </si>
  <si>
    <t>14638412</t>
  </si>
  <si>
    <t>72</t>
  </si>
  <si>
    <t>Драгунское</t>
  </si>
  <si>
    <t>14638416</t>
  </si>
  <si>
    <t>73</t>
  </si>
  <si>
    <t>Кочетовское</t>
  </si>
  <si>
    <t>14638420</t>
  </si>
  <si>
    <t>75</t>
  </si>
  <si>
    <t>Курасовское</t>
  </si>
  <si>
    <t>14638424</t>
  </si>
  <si>
    <t>76</t>
  </si>
  <si>
    <t>Новенское</t>
  </si>
  <si>
    <t>14638428</t>
  </si>
  <si>
    <t>77</t>
  </si>
  <si>
    <t>14638436</t>
  </si>
  <si>
    <t>78</t>
  </si>
  <si>
    <t>Сафоновское</t>
  </si>
  <si>
    <t>14638440</t>
  </si>
  <si>
    <t>79</t>
  </si>
  <si>
    <t>Сухосолотинское</t>
  </si>
  <si>
    <t>14638444</t>
  </si>
  <si>
    <t>80</t>
  </si>
  <si>
    <t>Сырцевское</t>
  </si>
  <si>
    <t>14638448</t>
  </si>
  <si>
    <t>81</t>
  </si>
  <si>
    <t>Хомутчанское</t>
  </si>
  <si>
    <t>14638452</t>
  </si>
  <si>
    <t>82</t>
  </si>
  <si>
    <t>Череновское</t>
  </si>
  <si>
    <t>14638432</t>
  </si>
  <si>
    <t>83</t>
  </si>
  <si>
    <t>поселок Ивня</t>
  </si>
  <si>
    <t>14638151</t>
  </si>
  <si>
    <t>84</t>
  </si>
  <si>
    <t>Алексеевское</t>
  </si>
  <si>
    <t>14640404</t>
  </si>
  <si>
    <t>85</t>
  </si>
  <si>
    <t>Анновское</t>
  </si>
  <si>
    <t>14640408</t>
  </si>
  <si>
    <t>86</t>
  </si>
  <si>
    <t>Афанасовское</t>
  </si>
  <si>
    <t>14640412</t>
  </si>
  <si>
    <t>87</t>
  </si>
  <si>
    <t>Бехтеевское</t>
  </si>
  <si>
    <t>14640416</t>
  </si>
  <si>
    <t>88</t>
  </si>
  <si>
    <t>Большехаланское</t>
  </si>
  <si>
    <t>14640420</t>
  </si>
  <si>
    <t>89</t>
  </si>
  <si>
    <t>Бубновское</t>
  </si>
  <si>
    <t>14640424</t>
  </si>
  <si>
    <t>90</t>
  </si>
  <si>
    <t>Жигайловское</t>
  </si>
  <si>
    <t>14640428</t>
  </si>
  <si>
    <t>91</t>
  </si>
  <si>
    <t>Заяченское</t>
  </si>
  <si>
    <t>14640431</t>
  </si>
  <si>
    <t>92</t>
  </si>
  <si>
    <t>Коротковское</t>
  </si>
  <si>
    <t>14640436</t>
  </si>
  <si>
    <t>93</t>
  </si>
  <si>
    <t>Кощеевское</t>
  </si>
  <si>
    <t>14640440</t>
  </si>
  <si>
    <t>95</t>
  </si>
  <si>
    <t>Ломовское</t>
  </si>
  <si>
    <t>14640444</t>
  </si>
  <si>
    <t>96</t>
  </si>
  <si>
    <t>Мелиховское</t>
  </si>
  <si>
    <t>14640448</t>
  </si>
  <si>
    <t>97</t>
  </si>
  <si>
    <t>Новослободское</t>
  </si>
  <si>
    <t>14640452</t>
  </si>
  <si>
    <t>98</t>
  </si>
  <si>
    <t>Плосковское</t>
  </si>
  <si>
    <t>14640458</t>
  </si>
  <si>
    <t>99</t>
  </si>
  <si>
    <t>Плотавское</t>
  </si>
  <si>
    <t>14640460</t>
  </si>
  <si>
    <t>100</t>
  </si>
  <si>
    <t>Погореловское</t>
  </si>
  <si>
    <t>14640464</t>
  </si>
  <si>
    <t>101</t>
  </si>
  <si>
    <t>Поповское</t>
  </si>
  <si>
    <t>14640468</t>
  </si>
  <si>
    <t>102</t>
  </si>
  <si>
    <t>Проходенское</t>
  </si>
  <si>
    <t>14640472</t>
  </si>
  <si>
    <t>103</t>
  </si>
  <si>
    <t>Соколовское</t>
  </si>
  <si>
    <t>14640476</t>
  </si>
  <si>
    <t>104</t>
  </si>
  <si>
    <t>Шеинское</t>
  </si>
  <si>
    <t>14640488</t>
  </si>
  <si>
    <t>105</t>
  </si>
  <si>
    <t>Шляховское</t>
  </si>
  <si>
    <t>14640492</t>
  </si>
  <si>
    <t>106</t>
  </si>
  <si>
    <t>Яблоновское</t>
  </si>
  <si>
    <t>14640496</t>
  </si>
  <si>
    <t>107</t>
  </si>
  <si>
    <t>город Короча</t>
  </si>
  <si>
    <t>14640101</t>
  </si>
  <si>
    <t>городское поселение, в состав которого входит город</t>
  </si>
  <si>
    <t>108</t>
  </si>
  <si>
    <t>Большовское</t>
  </si>
  <si>
    <t>14641409</t>
  </si>
  <si>
    <t>109</t>
  </si>
  <si>
    <t>Горкинское</t>
  </si>
  <si>
    <t>14641417</t>
  </si>
  <si>
    <t>110</t>
  </si>
  <si>
    <t>Готовское</t>
  </si>
  <si>
    <t>14641423</t>
  </si>
  <si>
    <t>111</t>
  </si>
  <si>
    <t>Камызинское</t>
  </si>
  <si>
    <t>14641448</t>
  </si>
  <si>
    <t>112</t>
  </si>
  <si>
    <t>Красненское</t>
  </si>
  <si>
    <t>14641478</t>
  </si>
  <si>
    <t>114</t>
  </si>
  <si>
    <t>Кругловское</t>
  </si>
  <si>
    <t>14641453</t>
  </si>
  <si>
    <t>115</t>
  </si>
  <si>
    <t>Лесноуколовское</t>
  </si>
  <si>
    <t>14641459</t>
  </si>
  <si>
    <t>116</t>
  </si>
  <si>
    <t>Новоуколовское</t>
  </si>
  <si>
    <t>14641472</t>
  </si>
  <si>
    <t>117</t>
  </si>
  <si>
    <t>Расховецкое</t>
  </si>
  <si>
    <t>14641483</t>
  </si>
  <si>
    <t>118</t>
  </si>
  <si>
    <t>Сетищенское</t>
  </si>
  <si>
    <t>14641487</t>
  </si>
  <si>
    <t>119</t>
  </si>
  <si>
    <t>Валуйчанское</t>
  </si>
  <si>
    <t>14642404</t>
  </si>
  <si>
    <t>120</t>
  </si>
  <si>
    <t>Верхнепокровское</t>
  </si>
  <si>
    <t>14642412</t>
  </si>
  <si>
    <t>121</t>
  </si>
  <si>
    <t>Верхососенское</t>
  </si>
  <si>
    <t>14642416</t>
  </si>
  <si>
    <t>122</t>
  </si>
  <si>
    <t>Веселовское</t>
  </si>
  <si>
    <t>14642420</t>
  </si>
  <si>
    <t>123</t>
  </si>
  <si>
    <t>Засосенское</t>
  </si>
  <si>
    <t>14642424</t>
  </si>
  <si>
    <t>124</t>
  </si>
  <si>
    <t>Калиновское</t>
  </si>
  <si>
    <t>14642428</t>
  </si>
  <si>
    <t>125</t>
  </si>
  <si>
    <t>Коломыцевское</t>
  </si>
  <si>
    <t>14642408</t>
  </si>
  <si>
    <t>126</t>
  </si>
  <si>
    <t>Ливенское</t>
  </si>
  <si>
    <t>14642436</t>
  </si>
  <si>
    <t>128</t>
  </si>
  <si>
    <t>Марьевское</t>
  </si>
  <si>
    <t>14642440</t>
  </si>
  <si>
    <t>129</t>
  </si>
  <si>
    <t>Никитовское</t>
  </si>
  <si>
    <t>14642444</t>
  </si>
  <si>
    <t>130</t>
  </si>
  <si>
    <t>Новохуторное</t>
  </si>
  <si>
    <t>14642448</t>
  </si>
  <si>
    <t>131</t>
  </si>
  <si>
    <t>Палатовское</t>
  </si>
  <si>
    <t>14642452</t>
  </si>
  <si>
    <t>132</t>
  </si>
  <si>
    <t>14642456</t>
  </si>
  <si>
    <t>133</t>
  </si>
  <si>
    <t>Утянское</t>
  </si>
  <si>
    <t>14642460</t>
  </si>
  <si>
    <t>134</t>
  </si>
  <si>
    <t>город Бирюч</t>
  </si>
  <si>
    <t>14642151</t>
  </si>
  <si>
    <t>135</t>
  </si>
  <si>
    <t>Вязовское</t>
  </si>
  <si>
    <t>14643405</t>
  </si>
  <si>
    <t>136</t>
  </si>
  <si>
    <t>Графовское</t>
  </si>
  <si>
    <t>14643410</t>
  </si>
  <si>
    <t>137</t>
  </si>
  <si>
    <t>Илек-Пеньковское</t>
  </si>
  <si>
    <t>14643415</t>
  </si>
  <si>
    <t>138</t>
  </si>
  <si>
    <t>Колотиловское</t>
  </si>
  <si>
    <t>14643418</t>
  </si>
  <si>
    <t>139</t>
  </si>
  <si>
    <t>Репяховское</t>
  </si>
  <si>
    <t>14643430</t>
  </si>
  <si>
    <t>141</t>
  </si>
  <si>
    <t>Сергиевское</t>
  </si>
  <si>
    <t>14643435</t>
  </si>
  <si>
    <t>142</t>
  </si>
  <si>
    <t>Теребренское</t>
  </si>
  <si>
    <t>14643440</t>
  </si>
  <si>
    <t>143</t>
  </si>
  <si>
    <t>поселок Красная Яруга</t>
  </si>
  <si>
    <t>14643151</t>
  </si>
  <si>
    <t>144</t>
  </si>
  <si>
    <t>Беленихинское</t>
  </si>
  <si>
    <t>14646404</t>
  </si>
  <si>
    <t>146</t>
  </si>
  <si>
    <t>Береговское</t>
  </si>
  <si>
    <t>14646408</t>
  </si>
  <si>
    <t>147</t>
  </si>
  <si>
    <t>14646412</t>
  </si>
  <si>
    <t>148</t>
  </si>
  <si>
    <t>Журавское</t>
  </si>
  <si>
    <t>14646420</t>
  </si>
  <si>
    <t>149</t>
  </si>
  <si>
    <t>14646428</t>
  </si>
  <si>
    <t>150</t>
  </si>
  <si>
    <t>Кривошеевское</t>
  </si>
  <si>
    <t>14646432</t>
  </si>
  <si>
    <t>151</t>
  </si>
  <si>
    <t>Лучковское</t>
  </si>
  <si>
    <t>14646436</t>
  </si>
  <si>
    <t>152</t>
  </si>
  <si>
    <t>Маломаяченское</t>
  </si>
  <si>
    <t>14646416</t>
  </si>
  <si>
    <t>153</t>
  </si>
  <si>
    <t>Петровское</t>
  </si>
  <si>
    <t>14646440</t>
  </si>
  <si>
    <t>154</t>
  </si>
  <si>
    <t>14646444</t>
  </si>
  <si>
    <t>155</t>
  </si>
  <si>
    <t>Подолешенское</t>
  </si>
  <si>
    <t>14646448</t>
  </si>
  <si>
    <t>156</t>
  </si>
  <si>
    <t>Прелестненское</t>
  </si>
  <si>
    <t>14646452</t>
  </si>
  <si>
    <t>157</t>
  </si>
  <si>
    <t>Призначенское</t>
  </si>
  <si>
    <t>14646456</t>
  </si>
  <si>
    <t>158</t>
  </si>
  <si>
    <t>Радьковское</t>
  </si>
  <si>
    <t>14646460</t>
  </si>
  <si>
    <t>160</t>
  </si>
  <si>
    <t>Ржавецкое</t>
  </si>
  <si>
    <t>14646464</t>
  </si>
  <si>
    <t>161</t>
  </si>
  <si>
    <t>Холоднянское</t>
  </si>
  <si>
    <t>14646468</t>
  </si>
  <si>
    <t>162</t>
  </si>
  <si>
    <t>Шаховское</t>
  </si>
  <si>
    <t>14646472</t>
  </si>
  <si>
    <t>163</t>
  </si>
  <si>
    <t>поселок Прохоровка</t>
  </si>
  <si>
    <t>14646151</t>
  </si>
  <si>
    <t>164</t>
  </si>
  <si>
    <t>Бобравское</t>
  </si>
  <si>
    <t>14648404</t>
  </si>
  <si>
    <t>165</t>
  </si>
  <si>
    <t>Введено-Готнянское</t>
  </si>
  <si>
    <t>14648410</t>
  </si>
  <si>
    <t>166</t>
  </si>
  <si>
    <t>Венгеровское</t>
  </si>
  <si>
    <t>14648412</t>
  </si>
  <si>
    <t>167</t>
  </si>
  <si>
    <t>Вышнепенское</t>
  </si>
  <si>
    <t>14648414</t>
  </si>
  <si>
    <t>168</t>
  </si>
  <si>
    <t>Дмитриевское</t>
  </si>
  <si>
    <t>14648428</t>
  </si>
  <si>
    <t>169</t>
  </si>
  <si>
    <t>Зинаидинское</t>
  </si>
  <si>
    <t>14648432</t>
  </si>
  <si>
    <t>170</t>
  </si>
  <si>
    <t>Илек-Кошарское</t>
  </si>
  <si>
    <t>14648436</t>
  </si>
  <si>
    <t>171</t>
  </si>
  <si>
    <t>Нижнепенское</t>
  </si>
  <si>
    <t>14648448</t>
  </si>
  <si>
    <t>172</t>
  </si>
  <si>
    <t>Солдатское</t>
  </si>
  <si>
    <t>14648472</t>
  </si>
  <si>
    <t>174</t>
  </si>
  <si>
    <t>Трефиловское</t>
  </si>
  <si>
    <t>14648480</t>
  </si>
  <si>
    <t>175</t>
  </si>
  <si>
    <t>Центральное</t>
  </si>
  <si>
    <t>14648471</t>
  </si>
  <si>
    <t>176</t>
  </si>
  <si>
    <t>поселок Пролетарский</t>
  </si>
  <si>
    <t>14648170</t>
  </si>
  <si>
    <t>177</t>
  </si>
  <si>
    <t>поселок Ракитное</t>
  </si>
  <si>
    <t>14648151</t>
  </si>
  <si>
    <t>178</t>
  </si>
  <si>
    <t>Айдарское</t>
  </si>
  <si>
    <t>14650404</t>
  </si>
  <si>
    <t>179</t>
  </si>
  <si>
    <t>Верхнесеребрянское</t>
  </si>
  <si>
    <t>14650408</t>
  </si>
  <si>
    <t>180</t>
  </si>
  <si>
    <t>Ладомировское</t>
  </si>
  <si>
    <t>14650412</t>
  </si>
  <si>
    <t>181</t>
  </si>
  <si>
    <t>Лознянское</t>
  </si>
  <si>
    <t>14650416</t>
  </si>
  <si>
    <t>182</t>
  </si>
  <si>
    <t>Лозовское</t>
  </si>
  <si>
    <t>14650420</t>
  </si>
  <si>
    <t>183</t>
  </si>
  <si>
    <t>Наголенское</t>
  </si>
  <si>
    <t>14650424</t>
  </si>
  <si>
    <t>184</t>
  </si>
  <si>
    <t>Нагорьевское</t>
  </si>
  <si>
    <t>14650428</t>
  </si>
  <si>
    <t>185</t>
  </si>
  <si>
    <t>Новоалександровское</t>
  </si>
  <si>
    <t>14650432</t>
  </si>
  <si>
    <t>186</t>
  </si>
  <si>
    <t>Ржевское</t>
  </si>
  <si>
    <t>14650436</t>
  </si>
  <si>
    <t>187</t>
  </si>
  <si>
    <t>Свистовское</t>
  </si>
  <si>
    <t>14650439</t>
  </si>
  <si>
    <t>189</t>
  </si>
  <si>
    <t>Харьковское</t>
  </si>
  <si>
    <t>14650448</t>
  </si>
  <si>
    <t>190</t>
  </si>
  <si>
    <t>поселок Ровеньки</t>
  </si>
  <si>
    <t>14650151</t>
  </si>
  <si>
    <t>191</t>
  </si>
  <si>
    <t>Старооскольский городской округ</t>
  </si>
  <si>
    <t>14740000</t>
  </si>
  <si>
    <t>192</t>
  </si>
  <si>
    <t>Андреевское</t>
  </si>
  <si>
    <t>14654404</t>
  </si>
  <si>
    <t>193</t>
  </si>
  <si>
    <t>Большанское</t>
  </si>
  <si>
    <t>14654407</t>
  </si>
  <si>
    <t>194</t>
  </si>
  <si>
    <t>Волоконовское</t>
  </si>
  <si>
    <t>14654412</t>
  </si>
  <si>
    <t>195</t>
  </si>
  <si>
    <t>Волотовское</t>
  </si>
  <si>
    <t>14654416</t>
  </si>
  <si>
    <t>196</t>
  </si>
  <si>
    <t>Ездоченское</t>
  </si>
  <si>
    <t>14654424</t>
  </si>
  <si>
    <t>197</t>
  </si>
  <si>
    <t>Кочегуренское</t>
  </si>
  <si>
    <t>14654428</t>
  </si>
  <si>
    <t>198</t>
  </si>
  <si>
    <t>Лозновское</t>
  </si>
  <si>
    <t>14654432</t>
  </si>
  <si>
    <t>199</t>
  </si>
  <si>
    <t>Лубянское</t>
  </si>
  <si>
    <t>14654436</t>
  </si>
  <si>
    <t>200</t>
  </si>
  <si>
    <t>Малотроицкое</t>
  </si>
  <si>
    <t>14654440</t>
  </si>
  <si>
    <t>201</t>
  </si>
  <si>
    <t>Новореченское</t>
  </si>
  <si>
    <t>14654444</t>
  </si>
  <si>
    <t>202</t>
  </si>
  <si>
    <t>Огибнянское</t>
  </si>
  <si>
    <t>14654448</t>
  </si>
  <si>
    <t>203</t>
  </si>
  <si>
    <t>Ольшанское</t>
  </si>
  <si>
    <t>14654452</t>
  </si>
  <si>
    <t>204</t>
  </si>
  <si>
    <t>Орликовское</t>
  </si>
  <si>
    <t>14654456</t>
  </si>
  <si>
    <t>205</t>
  </si>
  <si>
    <t>Прилепенское</t>
  </si>
  <si>
    <t>14654460</t>
  </si>
  <si>
    <t>206</t>
  </si>
  <si>
    <t>Русскохаланское</t>
  </si>
  <si>
    <t>14654464</t>
  </si>
  <si>
    <t>207</t>
  </si>
  <si>
    <t>NUMBER_POINT</t>
  </si>
  <si>
    <t>INVP_NAME</t>
  </si>
  <si>
    <t>INVP_ID</t>
  </si>
  <si>
    <t>L_START_DATE</t>
  </si>
  <si>
    <t>L_END_DATE</t>
  </si>
  <si>
    <t>L_DECISION_NAME</t>
  </si>
  <si>
    <t>L_DECISION_TYPE</t>
  </si>
  <si>
    <t>L_DECISION_NMBR</t>
  </si>
  <si>
    <t>L_DECISION_DATE</t>
  </si>
  <si>
    <t>TER_NAME</t>
  </si>
  <si>
    <t>Территория 1</t>
  </si>
  <si>
    <t>Территория 2</t>
  </si>
  <si>
    <t>Территория 3</t>
  </si>
  <si>
    <t>Территория 4</t>
  </si>
  <si>
    <t>Территория 5</t>
  </si>
  <si>
    <t>Территория 6</t>
  </si>
  <si>
    <t>Территория 7</t>
  </si>
  <si>
    <t>Территория 8</t>
  </si>
  <si>
    <t>Территория 9</t>
  </si>
  <si>
    <t>Территория 10</t>
  </si>
  <si>
    <t>Территория 11</t>
  </si>
  <si>
    <t>Территория 12</t>
  </si>
  <si>
    <t>Территория 13</t>
  </si>
  <si>
    <t>Территория 14</t>
  </si>
  <si>
    <t>Территория 15</t>
  </si>
  <si>
    <t>Территория 16</t>
  </si>
  <si>
    <t>Территория 17</t>
  </si>
  <si>
    <t>Территория 18</t>
  </si>
  <si>
    <t>Территория 19</t>
  </si>
  <si>
    <t>Территория 20</t>
  </si>
  <si>
    <t>Территория 21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</si>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</sst>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12761">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40" borderId="12" xfId="0" applyFont="1" applyFill="1" applyBorder="1">
      <alignment horizontal="left" vertical="top"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29" xfId="0" applyFont="1" applyFill="1" applyBorder="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4"/>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29"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3"/>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53" fillId="36" borderId="12" xfId="0" applyFont="1" applyFill="1" applyBorder="1" applyNumberFormat="1">
      <alignment horizontal="left" vertical="center" wrapText="1"/>
      <protection locked="0"/>
    </xf>
    <xf numFmtId="0" fontId="29" fillId="0" borderId="0" xfId="0" applyFont="1"/>
    <xf numFmtId="0" fontId="22" fillId="0" borderId="0" xfId="61" applyFont="1" applyNumberFormat="1">
      <alignment vertical="center" wrapText="1"/>
    </xf>
    <xf numFmtId="0" fontId="22" fillId="34" borderId="14" xfId="61" applyFont="1" applyFill="1" applyBorder="1" applyNumberFormat="1">
      <alignment horizontal="left" vertical="center" wrapText="1"/>
    </xf>
    <xf numFmtId="0" fontId="22" fillId="34" borderId="15" xfId="61" applyFont="1" applyFill="1" applyBorder="1" applyNumberFormat="1">
      <alignment horizontal="left" vertical="center" wrapText="1"/>
    </xf>
    <xf numFmtId="0" fontId="22" fillId="34" borderId="13" xfId="61" applyFont="1" applyFill="1" applyBorder="1" applyNumberFormat="1">
      <alignment horizontal="left" vertical="center" wrapText="1"/>
    </xf>
    <xf numFmtId="0" fontId="22" fillId="36" borderId="14" xfId="61" applyFont="1" applyFill="1" applyBorder="1" applyNumberFormat="1">
      <alignment horizontal="left" vertical="center" wrapText="1"/>
      <protection locked="0"/>
    </xf>
    <xf numFmtId="0" fontId="22" fillId="36" borderId="15" xfId="61" applyFont="1" applyFill="1" applyBorder="1" applyNumberFormat="1">
      <alignment horizontal="left" vertical="center" wrapText="1"/>
      <protection locked="0"/>
    </xf>
    <xf numFmtId="0" fontId="22" fillId="36" borderId="13" xfId="61" applyFont="1" applyFill="1" applyBorder="1" applyNumberFormat="1">
      <alignment horizontal="left" vertical="center" wrapText="1"/>
      <protection locked="0"/>
    </xf>
    <xf numFmtId="0" fontId="22" fillId="40" borderId="14" xfId="61" applyFont="1" applyFill="1" applyBorder="1" applyNumberFormat="1">
      <alignment horizontal="left" vertical="center" wrapText="1"/>
    </xf>
    <xf numFmtId="0" fontId="22" fillId="40" borderId="15" xfId="61" applyFont="1" applyFill="1" applyBorder="1" applyNumberFormat="1">
      <alignment horizontal="left" vertical="center" wrapText="1"/>
    </xf>
    <xf numFmtId="0" fontId="22" fillId="40" borderId="13" xfId="61" applyFont="1" applyFill="1" applyBorder="1" applyNumberFormat="1">
      <alignment horizontal="left" vertical="center" wrapText="1"/>
    </xf>
    <xf numFmtId="4" fontId="22" fillId="36" borderId="12" xfId="61" applyFont="1" applyFill="1" applyBorder="1" applyNumberFormat="1">
      <alignment horizontal="right" vertical="center" wrapText="1"/>
      <protection locked="0"/>
    </xf>
    <xf numFmtId="190" fontId="0" fillId="39" borderId="12" xfId="61" applyFont="1" applyFill="1" applyBorder="1" applyNumberFormat="1">
      <alignment horizontal="center" vertical="center" wrapText="1"/>
      <protection locked="0"/>
    </xf>
    <xf numFmtId="49" fontId="22" fillId="40" borderId="12" xfId="61" applyFont="1" applyFill="1" applyBorder="1" applyNumberFormat="1">
      <alignment horizontal="center" vertical="center" wrapText="1"/>
    </xf>
    <xf numFmtId="4" fontId="22" fillId="0" borderId="12" xfId="61" applyFont="1" applyBorder="1" applyNumberFormat="1">
      <alignment horizontal="right" vertical="center" wrapText="1"/>
    </xf>
    <xf numFmtId="49" fontId="0" fillId="39" borderId="12" xfId="61" applyFont="1" applyFill="1" applyBorder="1" applyNumberFormat="1">
      <alignment horizontal="center" vertical="center" wrapText="1"/>
      <protection locked="0"/>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47" fillId="0" borderId="0" xfId="61" applyFont="1" applyNumberFormat="1">
      <alignment horizontal="center" vertical="center" wrapText="1"/>
    </xf>
    <xf numFmtId="0" fontId="46" fillId="0" borderId="0" xfId="61" applyFont="1" applyNumberFormat="1">
      <alignment vertical="center" wrapText="1"/>
    </xf>
    <xf numFmtId="49" fontId="46" fillId="0" borderId="12" xfId="61" applyFont="1" applyBorder="1" applyNumberFormat="1">
      <alignment vertical="center" wrapText="1"/>
    </xf>
    <xf numFmtId="0" fontId="46" fillId="0" borderId="0" xfId="61" applyFont="1" applyNumberFormat="1">
      <alignment vertical="center"/>
    </xf>
    <xf numFmtId="0" fontId="22" fillId="0" borderId="19" xfId="61" applyFont="1" applyBorder="1" applyNumberFormat="1">
      <alignment horizontal="left" vertical="top" wrapText="1" indent="1"/>
    </xf>
    <xf numFmtId="0" fontId="22" fillId="0" borderId="27" xfId="61" applyFont="1" applyBorder="1" applyNumberFormat="1">
      <alignment horizontal="left" vertical="center" wrapText="1" indent="1"/>
    </xf>
    <xf numFmtId="0" fontId="49" fillId="35" borderId="0" xfId="61" applyFont="1" applyFill="1" applyNumberFormat="1">
      <alignment horizontal="center" vertical="center" wrapText="1"/>
    </xf>
    <xf numFmtId="0" fontId="22" fillId="34" borderId="12" xfId="61" applyFont="1" applyFill="1" applyBorder="1" applyNumberFormat="1">
      <alignment horizontal="left" vertical="center" wrapText="1" indent="1"/>
    </xf>
    <xf numFmtId="190" fontId="22" fillId="34" borderId="12" xfId="61" applyFont="1" applyFill="1" applyBorder="1" applyNumberFormat="1">
      <alignment horizontal="left" vertical="center" wrapText="1" indent="1"/>
    </xf>
    <xf numFmtId="0" fontId="47" fillId="0" borderId="0" xfId="61" applyFont="1" applyNumberFormat="1">
      <alignment vertical="center" wrapText="1"/>
    </xf>
    <xf numFmtId="0" fontId="36" fillId="0" borderId="27" xfId="61" applyFont="1" applyBorder="1" applyNumberFormat="1">
      <alignment horizontal="center" vertical="center" wrapText="1"/>
    </xf>
    <xf numFmtId="0" fontId="22" fillId="0" borderId="12" xfId="61" applyFont="1" applyBorder="1" applyNumberFormat="1">
      <alignment horizontal="center" vertical="center" wrapText="1"/>
    </xf>
    <xf numFmtId="0" fontId="0" fillId="35" borderId="14" xfId="61" applyFont="1" applyFill="1" applyBorder="1" applyNumberFormat="1">
      <alignment horizontal="center" vertical="center" wrapText="1"/>
    </xf>
    <xf numFmtId="0" fontId="0" fillId="35" borderId="15" xfId="61" applyFont="1" applyFill="1" applyBorder="1" applyNumberFormat="1">
      <alignment horizontal="center" vertical="center" wrapText="1"/>
    </xf>
    <xf numFmtId="0" fontId="0" fillId="35" borderId="13" xfId="61" applyFont="1" applyFill="1" applyBorder="1" applyNumberFormat="1">
      <alignment horizontal="center" vertical="center" wrapText="1"/>
    </xf>
    <xf numFmtId="0" fontId="22" fillId="35" borderId="17" xfId="61" applyFont="1" applyFill="1" applyBorder="1" applyNumberFormat="1">
      <alignment horizontal="center" vertical="center" wrapText="1"/>
    </xf>
    <xf numFmtId="0" fontId="22" fillId="0" borderId="17" xfId="61" applyFont="1" applyBorder="1" applyNumberFormat="1">
      <alignment horizontal="center" vertical="center" wrapText="1"/>
    </xf>
    <xf numFmtId="0" fontId="22" fillId="0" borderId="14" xfId="61" applyFont="1" applyBorder="1" applyNumberFormat="1">
      <alignment horizontal="center" vertical="center" wrapText="1"/>
    </xf>
    <xf numFmtId="0" fontId="22" fillId="0" borderId="13" xfId="61" applyFont="1" applyBorder="1" applyNumberFormat="1">
      <alignment horizontal="center" vertical="center" wrapText="1"/>
    </xf>
    <xf numFmtId="0" fontId="22" fillId="35" borderId="36" xfId="61" applyFont="1" applyFill="1" applyBorder="1" applyNumberFormat="1">
      <alignment horizontal="center" vertical="center" wrapText="1"/>
    </xf>
    <xf numFmtId="0" fontId="0" fillId="0" borderId="12" xfId="61" applyFont="1" applyBorder="1" applyNumberFormat="1">
      <alignment horizontal="center" vertical="center" wrapText="1"/>
    </xf>
    <xf numFmtId="0" fontId="0" fillId="0" borderId="13" xfId="61" applyFont="1" applyBorder="1" applyNumberFormat="1">
      <alignment horizontal="center" vertical="center" wrapText="1"/>
    </xf>
    <xf numFmtId="0" fontId="22" fillId="35" borderId="23" xfId="61" applyFont="1" applyFill="1" applyBorder="1" applyNumberFormat="1">
      <alignment horizontal="center" vertical="center" wrapText="1"/>
    </xf>
    <xf numFmtId="0" fontId="80" fillId="35" borderId="19" xfId="61" applyFont="1" applyFill="1" applyBorder="1" applyNumberFormat="1">
      <alignment horizontal="center" vertical="center" wrapText="1"/>
    </xf>
    <xf numFmtId="190" fontId="0" fillId="39" borderId="17" xfId="61" applyFont="1" applyFill="1" applyBorder="1" applyNumberFormat="1">
      <alignment horizontal="center" vertical="center" wrapText="1"/>
      <protection locked="0"/>
    </xf>
    <xf numFmtId="49" fontId="0" fillId="39" borderId="23" xfId="61" applyFont="1" applyFill="1" applyBorder="1" applyNumberFormat="1">
      <alignment horizontal="center" vertical="center" wrapText="1"/>
      <protection locked="0"/>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0" fontId="22" fillId="0" borderId="0" xfId="61" applyFont="1" applyNumberFormat="1">
      <alignment horizontal="left" vertical="top" wrapText="1"/>
    </xf>
    <xf numFmtId="0" fontId="29" fillId="0" borderId="0" xfId="0" applyFont="1"/>
    <xf numFmtId="0" fontId="29" fillId="0" borderId="0" xfId="0" applyFont="1"/>
    <xf numFmtId="190" fontId="0" fillId="39" borderId="12"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29" fillId="0" borderId="0" xfId="0" applyFont="1"/>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0" fontId="29" fillId="0" borderId="0" xfId="0" applyFont="1"/>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9" fillId="0" borderId="0" xfId="0" applyFont="1"/>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343C7A-7D45-D2BC-8A7F-493B0AA71915}"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2758" width="5.421875" customWidth="1"/>
    <col min="2" max="2" style="12758" width="9.140625" customWidth="1"/>
    <col min="3" max="3" style="12758" width="16.421875" customWidth="1"/>
    <col min="4" max="25" style="12758" width="6.28125" customWidth="1"/>
    <col min="26" max="28" style="12758" width="11.00390625"/>
  </cols>
  <sheetData>
    <row customHeight="1" ht="15.75">
      <c r="A1" s="1707"/>
      <c r="B1" s="1708"/>
      <c r="C1" s="1708"/>
      <c r="D1" s="1708"/>
      <c r="E1" s="1708"/>
      <c r="F1" s="1708"/>
      <c r="G1" s="1708"/>
      <c r="H1" s="1708"/>
      <c r="I1" s="1708"/>
      <c r="J1" s="1708"/>
      <c r="K1" s="1708"/>
      <c r="L1" s="1708"/>
      <c r="M1" s="1708"/>
      <c r="N1" s="1708"/>
      <c r="O1" s="1708"/>
      <c r="P1" s="1708"/>
      <c r="Q1" s="1708"/>
      <c r="R1" s="1708"/>
      <c r="S1" s="1708"/>
      <c r="T1" s="1708"/>
      <c r="U1" s="1708"/>
      <c r="V1" s="1708"/>
      <c r="W1" s="1708"/>
      <c r="X1" s="1708"/>
      <c r="Y1" s="1709"/>
      <c r="Z1" s="1708"/>
      <c r="AA1" s="1710" t="s">
        <v>0</v>
      </c>
      <c r="AB1" s="1708"/>
    </row>
    <row customHeight="1" ht="17.25">
      <c r="A2" s="1708"/>
      <c r="B2" s="2084" t="s">
        <v>1</v>
      </c>
      <c r="C2" s="2084"/>
      <c r="D2" s="2084"/>
      <c r="E2" s="2084"/>
      <c r="F2" s="2084"/>
      <c r="G2" s="2084"/>
      <c r="H2" s="2084"/>
      <c r="I2" s="2084"/>
      <c r="J2" s="2084"/>
      <c r="K2" s="2084"/>
      <c r="L2" s="2084"/>
      <c r="M2" s="2084"/>
      <c r="N2" s="2084"/>
      <c r="O2" s="2084"/>
      <c r="P2" s="2084"/>
      <c r="Q2" s="1712"/>
      <c r="R2" s="1712"/>
      <c r="S2" s="1712"/>
      <c r="T2" s="1712"/>
      <c r="U2" s="1712"/>
      <c r="V2" s="1713"/>
      <c r="W2" s="1712"/>
      <c r="X2" s="1712"/>
      <c r="Y2" s="1709"/>
      <c r="Z2" s="1708"/>
      <c r="AA2" s="1710"/>
      <c r="AB2" s="1708"/>
    </row>
    <row customHeight="1" ht="15.75">
      <c r="A3" s="1708"/>
      <c r="B3" s="2085" t="s">
        <v>2</v>
      </c>
      <c r="C3" s="2085"/>
      <c r="D3" s="2085"/>
      <c r="E3" s="2085"/>
      <c r="F3" s="2085"/>
      <c r="G3" s="2085"/>
      <c r="H3" s="2085"/>
      <c r="I3" s="2085"/>
      <c r="J3" s="2085"/>
      <c r="K3" s="2085"/>
      <c r="L3" s="2085"/>
      <c r="M3" s="2085"/>
      <c r="N3" s="2085"/>
      <c r="O3" s="2085"/>
      <c r="P3" s="2085"/>
      <c r="Q3" s="1713"/>
      <c r="R3" s="1713"/>
      <c r="S3" s="1712"/>
      <c r="T3" s="1712"/>
      <c r="U3" s="1712"/>
      <c r="V3" s="1713"/>
      <c r="W3" s="1713"/>
      <c r="X3" s="1713"/>
      <c r="Y3" s="1713"/>
      <c r="Z3" s="1708"/>
      <c r="AA3" s="1710"/>
      <c r="AB3" s="1708"/>
    </row>
    <row customHeight="1" ht="17.25">
      <c r="A4" s="1708"/>
      <c r="B4" s="1714"/>
      <c r="C4" s="1708"/>
      <c r="D4" s="1713"/>
      <c r="E4" s="1713"/>
      <c r="F4" s="1713"/>
      <c r="G4" s="1713"/>
      <c r="H4" s="1713"/>
      <c r="I4" s="1713"/>
      <c r="J4" s="1713"/>
      <c r="K4" s="1713"/>
      <c r="L4" s="1713"/>
      <c r="M4" s="1713"/>
      <c r="N4" s="1713"/>
      <c r="O4" s="1713"/>
      <c r="P4" s="1713"/>
      <c r="Q4" s="1713"/>
      <c r="R4" s="1713"/>
      <c r="S4" s="1713"/>
      <c r="T4" s="1713"/>
      <c r="U4" s="1713"/>
      <c r="V4" s="1713"/>
      <c r="W4" s="1713"/>
      <c r="X4" s="1713"/>
      <c r="Y4" s="1713"/>
      <c r="Z4" s="1708"/>
      <c r="AA4" s="1710"/>
      <c r="AB4" s="1708"/>
    </row>
    <row customHeight="1" ht="22.5">
      <c r="A5" s="1715"/>
      <c r="B5" s="2086"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7"/>
      <c r="D5" s="2087"/>
      <c r="E5" s="2087"/>
      <c r="F5" s="2087"/>
      <c r="G5" s="2087"/>
      <c r="H5" s="2087"/>
      <c r="I5" s="2087"/>
      <c r="J5" s="2087"/>
      <c r="K5" s="2087"/>
      <c r="L5" s="2087"/>
      <c r="M5" s="2087"/>
      <c r="N5" s="2087"/>
      <c r="O5" s="2087"/>
      <c r="P5" s="2087"/>
      <c r="Q5" s="2087"/>
      <c r="R5" s="2087"/>
      <c r="S5" s="2087"/>
      <c r="T5" s="2087"/>
      <c r="U5" s="2087"/>
      <c r="V5" s="2087"/>
      <c r="W5" s="2087"/>
      <c r="X5" s="2087"/>
      <c r="Y5" s="2088"/>
      <c r="Z5" s="1715"/>
      <c r="AA5" s="1710"/>
      <c r="AB5" s="1715"/>
    </row>
    <row customHeight="1" ht="15">
      <c r="A6" s="1716"/>
      <c r="B6" s="2089" t="s">
        <v>3</v>
      </c>
      <c r="C6" s="2090"/>
      <c r="D6" s="1717"/>
      <c r="E6" s="1717"/>
      <c r="F6" s="1717"/>
      <c r="G6" s="1717"/>
      <c r="H6" s="1717"/>
      <c r="I6" s="1717"/>
      <c r="J6" s="1717"/>
      <c r="K6" s="1717"/>
      <c r="L6" s="1717"/>
      <c r="M6" s="1717"/>
      <c r="N6" s="1717"/>
      <c r="O6" s="1717"/>
      <c r="P6" s="1717"/>
      <c r="Q6" s="1717"/>
      <c r="R6" s="1717"/>
      <c r="S6" s="1717"/>
      <c r="T6" s="1717"/>
      <c r="U6" s="1717"/>
      <c r="V6" s="1717"/>
      <c r="W6" s="1717"/>
      <c r="X6" s="1717"/>
      <c r="Y6" s="1718"/>
      <c r="Z6" s="1719"/>
      <c r="AA6" s="1720"/>
      <c r="AB6" s="1720"/>
    </row>
    <row customHeight="1" ht="15">
      <c r="A7" s="1716"/>
      <c r="B7" s="2089"/>
      <c r="C7" s="2090"/>
      <c r="D7" s="1717"/>
      <c r="E7" s="1717"/>
      <c r="F7" s="1721"/>
      <c r="G7" s="1721"/>
      <c r="H7" s="1721"/>
      <c r="I7" s="1721"/>
      <c r="J7" s="1721"/>
      <c r="K7" s="1721"/>
      <c r="L7" s="1721"/>
      <c r="M7" s="1721"/>
      <c r="N7" s="1721"/>
      <c r="O7" s="1717"/>
      <c r="P7" s="1721"/>
      <c r="Q7" s="1721"/>
      <c r="R7" s="1721"/>
      <c r="S7" s="1721"/>
      <c r="T7" s="1721"/>
      <c r="U7" s="1721"/>
      <c r="V7" s="1721"/>
      <c r="W7" s="1721"/>
      <c r="X7" s="1721"/>
      <c r="Y7" s="1718"/>
      <c r="Z7" s="1719"/>
      <c r="AA7" s="1720"/>
      <c r="AB7" s="1720"/>
    </row>
    <row customHeight="1" ht="15">
      <c r="A8" s="1716"/>
      <c r="B8" s="2089"/>
      <c r="C8" s="2090"/>
      <c r="D8" s="1722"/>
      <c r="E8" s="1723" t="s">
        <v>4</v>
      </c>
      <c r="F8" s="2092" t="s">
        <v>5</v>
      </c>
      <c r="G8" s="2093"/>
      <c r="H8" s="2093"/>
      <c r="I8" s="2093"/>
      <c r="J8" s="2093"/>
      <c r="K8" s="2093"/>
      <c r="L8" s="2093"/>
      <c r="M8" s="2093"/>
      <c r="N8" s="1722"/>
      <c r="O8" s="1724" t="s">
        <v>4</v>
      </c>
      <c r="P8" s="2094" t="s">
        <v>6</v>
      </c>
      <c r="Q8" s="2095"/>
      <c r="R8" s="2095"/>
      <c r="S8" s="2095"/>
      <c r="T8" s="2095"/>
      <c r="U8" s="2095"/>
      <c r="V8" s="2095"/>
      <c r="W8" s="2095"/>
      <c r="X8" s="2095"/>
      <c r="Y8" s="1718"/>
      <c r="Z8" s="1719"/>
      <c r="AA8" s="1720"/>
      <c r="AB8" s="1720"/>
    </row>
    <row customHeight="1" ht="15">
      <c r="A9" s="1716"/>
      <c r="B9" s="2089"/>
      <c r="C9" s="2090"/>
      <c r="D9" s="1722"/>
      <c r="E9" s="1725" t="s">
        <v>4</v>
      </c>
      <c r="F9" s="2092" t="s">
        <v>7</v>
      </c>
      <c r="G9" s="2093"/>
      <c r="H9" s="2093"/>
      <c r="I9" s="2093"/>
      <c r="J9" s="2093"/>
      <c r="K9" s="2093"/>
      <c r="L9" s="2093"/>
      <c r="M9" s="2093"/>
      <c r="N9" s="1722"/>
      <c r="O9" s="1726" t="s">
        <v>4</v>
      </c>
      <c r="P9" s="2094" t="s">
        <v>8</v>
      </c>
      <c r="Q9" s="2095"/>
      <c r="R9" s="2095"/>
      <c r="S9" s="2095"/>
      <c r="T9" s="2095"/>
      <c r="U9" s="2095"/>
      <c r="V9" s="2095"/>
      <c r="W9" s="2095"/>
      <c r="X9" s="2095"/>
      <c r="Y9" s="1718"/>
      <c r="Z9" s="1719"/>
      <c r="AA9" s="1720"/>
      <c r="AB9" s="1720"/>
    </row>
    <row customHeight="1" ht="30">
      <c r="A10" s="1716"/>
      <c r="B10" s="2089"/>
      <c r="C10" s="2091"/>
      <c r="D10" s="1727"/>
      <c r="E10" s="1728"/>
      <c r="F10" s="1721"/>
      <c r="G10" s="1721"/>
      <c r="H10" s="1721"/>
      <c r="I10" s="1721"/>
      <c r="J10" s="1721"/>
      <c r="K10" s="1721"/>
      <c r="L10" s="1721"/>
      <c r="M10" s="1721"/>
      <c r="N10" s="1721"/>
      <c r="O10" s="1728"/>
      <c r="P10" s="1721"/>
      <c r="Q10" s="1721"/>
      <c r="R10" s="1721"/>
      <c r="S10" s="1721"/>
      <c r="T10" s="1721"/>
      <c r="U10" s="1721"/>
      <c r="V10" s="1721"/>
      <c r="W10" s="1721"/>
      <c r="X10" s="1721"/>
      <c r="Y10" s="1718"/>
      <c r="Z10" s="1719"/>
      <c r="AA10" s="1720"/>
      <c r="AB10" s="1720"/>
    </row>
    <row customHeight="1" ht="19.5">
      <c r="A11" s="1716"/>
      <c r="B11" s="2096" t="s">
        <v>9</v>
      </c>
      <c r="C11" s="2097"/>
      <c r="D11" s="1722"/>
      <c r="E11" s="1729"/>
      <c r="F11" s="1729"/>
      <c r="G11" s="1729"/>
      <c r="H11" s="1729"/>
      <c r="I11" s="1729"/>
      <c r="J11" s="1729"/>
      <c r="K11" s="1729"/>
      <c r="L11" s="1729"/>
      <c r="M11" s="1729"/>
      <c r="N11" s="1729"/>
      <c r="O11" s="1729"/>
      <c r="P11" s="1729"/>
      <c r="Q11" s="1729"/>
      <c r="R11" s="1729"/>
      <c r="S11" s="1729"/>
      <c r="T11" s="1729"/>
      <c r="U11" s="1729"/>
      <c r="V11" s="1729"/>
      <c r="W11" s="1729"/>
      <c r="X11" s="1729"/>
      <c r="Y11" s="1718"/>
      <c r="Z11" s="1719"/>
      <c r="AA11" s="1720"/>
      <c r="AB11" s="1720"/>
    </row>
    <row customHeight="1" ht="69">
      <c r="A12" s="1716"/>
      <c r="B12" s="2089"/>
      <c r="C12" s="2091"/>
      <c r="D12" s="1730"/>
      <c r="E12" s="2093" t="s">
        <v>10</v>
      </c>
      <c r="F12" s="2093"/>
      <c r="G12" s="2093"/>
      <c r="H12" s="2093"/>
      <c r="I12" s="2093"/>
      <c r="J12" s="2093"/>
      <c r="K12" s="2093"/>
      <c r="L12" s="2093"/>
      <c r="M12" s="2093"/>
      <c r="N12" s="2093"/>
      <c r="O12" s="2093"/>
      <c r="P12" s="2093"/>
      <c r="Q12" s="2093"/>
      <c r="R12" s="2093"/>
      <c r="S12" s="2093"/>
      <c r="T12" s="2093"/>
      <c r="U12" s="2093"/>
      <c r="V12" s="2093"/>
      <c r="W12" s="2093"/>
      <c r="X12" s="2093"/>
      <c r="Y12" s="1718"/>
      <c r="Z12" s="1719"/>
      <c r="AA12" s="1720"/>
      <c r="AB12" s="1720"/>
    </row>
    <row customHeight="1" ht="15">
      <c r="A13" s="1716"/>
      <c r="B13" s="2096" t="s">
        <v>11</v>
      </c>
      <c r="C13" s="2097"/>
      <c r="D13" s="1717"/>
      <c r="E13" s="1729"/>
      <c r="F13" s="1729"/>
      <c r="G13" s="1729"/>
      <c r="H13" s="1729"/>
      <c r="I13" s="1729"/>
      <c r="J13" s="1729"/>
      <c r="K13" s="1729"/>
      <c r="L13" s="1729"/>
      <c r="M13" s="1729"/>
      <c r="N13" s="1729"/>
      <c r="O13" s="1729"/>
      <c r="P13" s="1729"/>
      <c r="Q13" s="1729"/>
      <c r="R13" s="1729"/>
      <c r="S13" s="1729"/>
      <c r="T13" s="1729"/>
      <c r="U13" s="1729"/>
      <c r="V13" s="1729"/>
      <c r="W13" s="1729"/>
      <c r="X13" s="1729"/>
      <c r="Y13" s="1718"/>
      <c r="Z13" s="1719"/>
      <c r="AA13" s="1720"/>
      <c r="AB13" s="1720"/>
    </row>
    <row customHeight="1" ht="57">
      <c r="A14" s="1716"/>
      <c r="B14" s="2089"/>
      <c r="C14" s="2090"/>
      <c r="D14" s="1722"/>
      <c r="E14" s="2100" t="s">
        <v>12</v>
      </c>
      <c r="F14" s="2100"/>
      <c r="G14" s="2100"/>
      <c r="H14" s="2100"/>
      <c r="I14" s="2100"/>
      <c r="J14" s="2100"/>
      <c r="K14" s="2100"/>
      <c r="L14" s="2100"/>
      <c r="M14" s="2100"/>
      <c r="N14" s="2100"/>
      <c r="O14" s="2100"/>
      <c r="P14" s="2100"/>
      <c r="Q14" s="2100"/>
      <c r="R14" s="2100"/>
      <c r="S14" s="2100"/>
      <c r="T14" s="2100"/>
      <c r="U14" s="2100"/>
      <c r="V14" s="2100"/>
      <c r="W14" s="2100"/>
      <c r="X14" s="2100"/>
      <c r="Y14" s="1718"/>
      <c r="Z14" s="1719"/>
      <c r="AA14" s="1720"/>
      <c r="AB14" s="1720"/>
    </row>
    <row customHeight="1" ht="16.5">
      <c r="A15" s="1716"/>
      <c r="B15" s="2098"/>
      <c r="C15" s="2099"/>
      <c r="D15" s="1731"/>
      <c r="E15" s="1732"/>
      <c r="F15" s="1732"/>
      <c r="G15" s="1732"/>
      <c r="H15" s="1732"/>
      <c r="I15" s="1732"/>
      <c r="J15" s="1732"/>
      <c r="K15" s="1732"/>
      <c r="L15" s="1732"/>
      <c r="M15" s="1732"/>
      <c r="N15" s="1732"/>
      <c r="O15" s="1732"/>
      <c r="P15" s="1732"/>
      <c r="Q15" s="1732"/>
      <c r="R15" s="1732"/>
      <c r="S15" s="1732"/>
      <c r="T15" s="1732"/>
      <c r="U15" s="1732"/>
      <c r="V15" s="1732"/>
      <c r="W15" s="1732"/>
      <c r="X15" s="1732"/>
      <c r="Y15" s="1733"/>
      <c r="Z15" s="1719"/>
      <c r="AA15" s="1734"/>
      <c r="AB15" s="1720"/>
    </row>
    <row customHeight="1" ht="95.25">
      <c r="A16" s="1708"/>
      <c r="B16" s="2100"/>
      <c r="C16" s="2101"/>
      <c r="D16" s="2101"/>
      <c r="E16" s="2101"/>
      <c r="F16" s="2101"/>
      <c r="G16" s="2101"/>
      <c r="H16" s="2101"/>
      <c r="I16" s="2101"/>
      <c r="J16" s="2101"/>
      <c r="K16" s="2101"/>
      <c r="L16" s="2101"/>
      <c r="M16" s="2101"/>
      <c r="N16" s="2101"/>
      <c r="O16" s="2101"/>
      <c r="P16" s="2101"/>
      <c r="Q16" s="2101"/>
      <c r="R16" s="2101"/>
      <c r="S16" s="2101"/>
      <c r="T16" s="2101"/>
      <c r="U16" s="2101"/>
      <c r="V16" s="2101"/>
      <c r="W16" s="2101"/>
      <c r="X16" s="2101"/>
      <c r="Y16" s="2101"/>
      <c r="Z16" s="1708"/>
      <c r="AA16" s="1710"/>
      <c r="AB16" s="1708"/>
    </row>
    <row customHeight="1" ht="14.25">
      <c r="A17" s="1708"/>
      <c r="B17" s="1708"/>
      <c r="C17" s="1708"/>
      <c r="D17" s="1708"/>
      <c r="E17" s="1708"/>
      <c r="F17" s="1708"/>
      <c r="G17" s="1708"/>
      <c r="H17" s="1708"/>
      <c r="I17" s="1708"/>
      <c r="J17" s="1708"/>
      <c r="K17" s="1708"/>
      <c r="L17" s="1708"/>
      <c r="M17" s="1708"/>
      <c r="N17" s="1708"/>
      <c r="O17" s="1708"/>
      <c r="P17" s="1708"/>
      <c r="Q17" s="1708"/>
      <c r="R17" s="1708"/>
      <c r="S17" s="1708"/>
      <c r="T17" s="1708"/>
      <c r="U17" s="1708"/>
      <c r="V17" s="1708"/>
      <c r="W17" s="1708"/>
      <c r="X17" s="1708"/>
      <c r="Y17" s="1709"/>
      <c r="Z17" s="1708"/>
      <c r="AA17" s="1710"/>
      <c r="AB17" s="1708"/>
    </row>
    <row customHeight="1" ht="14.25">
      <c r="A18" s="1708"/>
      <c r="B18" s="1708"/>
      <c r="C18" s="1708"/>
      <c r="D18" s="1708"/>
      <c r="E18" s="1708"/>
      <c r="F18" s="1708"/>
      <c r="G18" s="1708"/>
      <c r="H18" s="1708"/>
      <c r="I18" s="1708"/>
      <c r="J18" s="1708"/>
      <c r="K18" s="1708"/>
      <c r="L18" s="1708"/>
      <c r="M18" s="1708"/>
      <c r="N18" s="1708"/>
      <c r="O18" s="1708"/>
      <c r="P18" s="1708"/>
      <c r="Q18" s="1708"/>
      <c r="R18" s="1708"/>
      <c r="S18" s="1708"/>
      <c r="T18" s="1708"/>
      <c r="U18" s="1708"/>
      <c r="V18" s="1708"/>
      <c r="W18" s="1708"/>
      <c r="X18" s="1708"/>
      <c r="Y18" s="1709"/>
      <c r="Z18" s="1708"/>
      <c r="AA18" s="1710"/>
      <c r="AB18" s="1708"/>
    </row>
    <row customHeight="1" ht="14.25">
      <c r="A19" s="1708"/>
      <c r="B19" s="1708"/>
      <c r="C19" s="1708"/>
      <c r="D19" s="1708"/>
      <c r="E19" s="1708"/>
      <c r="F19" s="1708"/>
      <c r="G19" s="1708"/>
      <c r="H19" s="1708"/>
      <c r="I19" s="1708"/>
      <c r="J19" s="1708"/>
      <c r="K19" s="1708"/>
      <c r="L19" s="1708"/>
      <c r="M19" s="1708"/>
      <c r="N19" s="1708"/>
      <c r="O19" s="1708"/>
      <c r="P19" s="1708"/>
      <c r="Q19" s="1708"/>
      <c r="R19" s="1708"/>
      <c r="S19" s="1708"/>
      <c r="T19" s="1708"/>
      <c r="U19" s="1708"/>
      <c r="V19" s="1708"/>
      <c r="W19" s="1708"/>
      <c r="X19" s="1708"/>
      <c r="Y19" s="1709"/>
      <c r="Z19" s="1708"/>
      <c r="AA19" s="1710"/>
      <c r="AB19" s="1708"/>
    </row>
    <row customHeight="1" ht="14.25">
      <c r="A20" s="1708"/>
      <c r="B20" s="1708"/>
      <c r="C20" s="1708"/>
      <c r="D20" s="1708"/>
      <c r="E20" s="1708"/>
      <c r="F20" s="1708"/>
      <c r="G20" s="1708"/>
      <c r="H20" s="1708"/>
      <c r="I20" s="1708"/>
      <c r="J20" s="1708"/>
      <c r="K20" s="1708"/>
      <c r="L20" s="1708"/>
      <c r="M20" s="1708"/>
      <c r="N20" s="1708"/>
      <c r="O20" s="1708"/>
      <c r="P20" s="1708"/>
      <c r="Q20" s="1708"/>
      <c r="R20" s="1708"/>
      <c r="S20" s="1708"/>
      <c r="T20" s="1708"/>
      <c r="U20" s="1708"/>
      <c r="V20" s="1708"/>
      <c r="W20" s="1708"/>
      <c r="X20" s="1708"/>
      <c r="Y20" s="1709"/>
      <c r="Z20" s="1708"/>
      <c r="AA20" s="1710"/>
      <c r="AB20" s="1708"/>
    </row>
    <row customHeight="1" ht="14.25">
      <c r="A21" s="1708"/>
      <c r="B21" s="1708"/>
      <c r="C21" s="1708"/>
      <c r="D21" s="1708"/>
      <c r="E21" s="1708"/>
      <c r="F21" s="1708"/>
      <c r="G21" s="1708"/>
      <c r="H21" s="1708"/>
      <c r="I21" s="1708"/>
      <c r="J21" s="1708"/>
      <c r="K21" s="1708"/>
      <c r="L21" s="1708"/>
      <c r="M21" s="1708"/>
      <c r="N21" s="1708"/>
      <c r="O21" s="1708"/>
      <c r="P21" s="1708"/>
      <c r="Q21" s="1708"/>
      <c r="R21" s="1708"/>
      <c r="S21" s="1708"/>
      <c r="T21" s="1708"/>
      <c r="U21" s="1708"/>
      <c r="V21" s="1708"/>
      <c r="W21" s="1708"/>
      <c r="X21" s="1708"/>
      <c r="Y21" s="1709"/>
      <c r="Z21" s="1708"/>
      <c r="AA21" s="1710"/>
      <c r="AB21" s="1708"/>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897CB0B-B85E-7ADF-74DE-9EE21B59FB26}" mc:Ignorable="x14ac xr xr2 xr3">
  <sheetPr>
    <tabColor rgb="FFCCCCFF"/>
  </sheetPr>
  <dimension ref="A1:Q79"/>
  <sheetViews>
    <sheetView topLeftCell="C2" showGridLines="0" zoomScale="90" workbookViewId="0">
      <selection activeCell="F30" sqref="F30"/>
    </sheetView>
  </sheetViews>
  <sheetFormatPr defaultColWidth="9.140625" customHeight="1" defaultRowHeight="11.25"/>
  <cols>
    <col min="1" max="1" style="794" width="10.7109375" hidden="1" customWidth="1"/>
    <col min="2" max="2" style="739" width="10.7109375" hidden="1" customWidth="1"/>
    <col min="3" max="3" style="537" width="3.00390625" customWidth="1"/>
    <col min="4" max="4" style="1642" width="1.00390625" customWidth="1"/>
    <col min="5" max="6" style="1642" width="55.00390625" customWidth="1"/>
    <col min="7" max="7" style="2132" width="1.00390625" customWidth="1"/>
    <col min="8" max="8" style="1642" width="18.00390625" hidden="1" customWidth="1"/>
    <col min="9" max="9" style="538" width="59.00390625" customWidth="1"/>
    <col min="10" max="10" style="1373" width="52.140625" hidden="1" customWidth="1"/>
    <col min="11" max="11" style="1642" width="8.00390625" customWidth="1"/>
    <col min="12" max="12" style="1642" width="77.00390625" customWidth="1"/>
    <col min="13" max="16" style="1642" width="8.00390625" customWidth="1"/>
    <col min="17" max="17" style="1642" width="12.00390625" hidden="1" customWidth="1"/>
  </cols>
  <sheetData>
    <row s="629" customFormat="1" customHeight="1" ht="3">
      <c r="A1" s="790"/>
      <c r="B1" s="248"/>
      <c r="F1" s="249" t="s">
        <v>13</v>
      </c>
      <c r="G1" s="418"/>
      <c r="H1" s="78"/>
      <c r="I1" s="418"/>
      <c r="J1" s="878"/>
      <c r="Q1" s="249" t="s">
        <v>14</v>
      </c>
    </row>
    <row s="1639" customFormat="1" customHeight="1" ht="14.25">
      <c r="A2" s="790"/>
      <c r="B2" s="105"/>
      <c r="E2" s="1747" t="str">
        <f>code</f>
        <v>Код отчёта: PP108.OPEN.INFO.REQUEST.COLDVSNA.EIAS</v>
      </c>
      <c r="F2" s="276"/>
      <c r="G2" s="252"/>
      <c r="H2" s="252"/>
      <c r="I2" s="252"/>
      <c r="J2" s="879"/>
      <c r="K2" s="252"/>
      <c r="Q2" s="78">
        <v>14</v>
      </c>
    </row>
    <row customHeight="1" ht="14.699999999999998">
      <c r="E3" s="253" t="str">
        <f>version</f>
        <v>Версия отчёта: 1.1.1</v>
      </c>
      <c r="F3" s="276"/>
      <c r="G3" s="777"/>
      <c r="H3" s="777"/>
      <c r="I3" s="777"/>
      <c r="J3" s="880"/>
      <c r="K3" s="95"/>
      <c r="Q3" s="81">
        <v>14</v>
      </c>
    </row>
    <row s="1619" customFormat="1" customHeight="1" ht="6.3">
      <c r="A4" s="791"/>
      <c r="B4" s="239"/>
      <c r="C4" s="240"/>
      <c r="D4" s="241"/>
      <c r="E4" s="250"/>
      <c r="F4" s="251"/>
      <c r="G4" s="778"/>
      <c r="H4" s="416"/>
      <c r="I4" s="418"/>
      <c r="J4" s="881"/>
      <c r="Q4" s="243">
        <v>6</v>
      </c>
    </row>
    <row customHeight="1" ht="39.75">
      <c r="D5" s="82"/>
      <c r="E5" s="2102" t="str">
        <f>NameTemplatesInTitle</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103"/>
      <c r="G5" s="779"/>
      <c r="J5" s="882"/>
      <c r="Q5" s="81">
        <v>38</v>
      </c>
    </row>
    <row s="1619" customFormat="1" customHeight="1" ht="6.3">
      <c r="A6" s="791"/>
      <c r="B6" s="239"/>
      <c r="C6" s="240"/>
      <c r="D6" s="241"/>
      <c r="E6" s="244"/>
      <c r="F6" s="245"/>
      <c r="G6" s="779"/>
      <c r="H6" s="416"/>
      <c r="I6" s="418"/>
      <c r="J6" s="881"/>
      <c r="Q6" s="243">
        <v>6</v>
      </c>
    </row>
    <row customHeight="1" ht="21">
      <c r="D7" s="82"/>
      <c r="E7" s="398" t="s">
        <v>15</v>
      </c>
      <c r="F7" s="222" t="s">
        <v>16</v>
      </c>
      <c r="G7" s="779"/>
      <c r="Q7" s="81">
        <v>20</v>
      </c>
    </row>
    <row s="1619" customFormat="1" customHeight="1" ht="6.3">
      <c r="A8" s="792"/>
      <c r="B8" s="239"/>
      <c r="C8" s="240"/>
      <c r="D8" s="246"/>
      <c r="E8" s="244"/>
      <c r="F8" s="247"/>
      <c r="G8" s="84"/>
      <c r="H8" s="416"/>
      <c r="I8" s="418"/>
      <c r="J8" s="884"/>
      <c r="Q8" s="243">
        <v>6</v>
      </c>
    </row>
    <row s="1642" customFormat="1" customHeight="1" ht="19.5" hidden="1">
      <c r="A9" s="791"/>
      <c r="B9" s="105"/>
      <c r="C9" s="415"/>
      <c r="D9" s="417"/>
      <c r="E9" s="1172" t="s">
        <v>17</v>
      </c>
      <c r="F9" s="1928"/>
      <c r="G9" s="779"/>
      <c r="I9" s="1907" t="str">
        <f>IF(TITLE_STRUCTURE_INFO_ROIV="","","раскрывается "&amp;INDEX(ROIV_INFO_COMMENT,MATCH(TITLE_STRUCTURE_INFO_ROIV,ROIV_INFO_LIST,0)))</f>
        <v/>
      </c>
      <c r="J9" s="883"/>
      <c r="Q9" s="416">
        <v>0</v>
      </c>
    </row>
    <row s="1619" customFormat="1" customHeight="1" ht="24" hidden="1">
      <c r="A10" s="792"/>
      <c r="B10" s="433"/>
      <c r="C10" s="434"/>
      <c r="D10" s="246"/>
      <c r="E10" s="1172" t="s">
        <v>18</v>
      </c>
      <c r="F10" s="2073" t="s">
        <v>19</v>
      </c>
      <c r="G10" s="84"/>
      <c r="H10" s="416"/>
      <c r="I10" s="418"/>
      <c r="J10" s="884"/>
      <c r="Q10" s="437">
        <v>24</v>
      </c>
    </row>
    <row customHeight="1" ht="22.5">
      <c r="A11" s="2105" t="s">
        <v>20</v>
      </c>
      <c r="D11" s="82"/>
      <c r="E11" s="1172" t="s">
        <v>21</v>
      </c>
      <c r="F11" s="1739">
        <v>44562</v>
      </c>
      <c r="G11" s="84"/>
      <c r="H11" s="780" t="s">
        <v>22</v>
      </c>
      <c r="J11" s="883" t="s">
        <v>23</v>
      </c>
      <c r="Q11" s="81">
        <v>0</v>
      </c>
    </row>
    <row customHeight="1" ht="22.5">
      <c r="A12" s="2105"/>
      <c r="D12" s="82"/>
      <c r="E12" s="1172" t="s">
        <v>24</v>
      </c>
      <c r="F12" s="1739">
        <v>46752</v>
      </c>
      <c r="G12" s="80"/>
      <c r="J12" s="883" t="s">
        <v>25</v>
      </c>
      <c r="Q12" s="81">
        <v>0</v>
      </c>
    </row>
    <row s="1642" customFormat="1" customHeight="1" ht="22.5" hidden="1">
      <c r="A13" s="795" t="s">
        <v>26</v>
      </c>
      <c r="B13" s="105"/>
      <c r="C13" s="415"/>
      <c r="D13" s="417"/>
      <c r="E13" s="1782" t="s">
        <v>27</v>
      </c>
      <c r="F13" s="1739" t="s">
        <v>28</v>
      </c>
      <c r="G13" s="84"/>
      <c r="H13" s="777"/>
      <c r="I13" s="418"/>
      <c r="J13" s="1783" t="s">
        <v>29</v>
      </c>
      <c r="Q13" s="416">
        <v>0</v>
      </c>
    </row>
    <row s="1642" customFormat="1" customHeight="1" ht="27" hidden="1">
      <c r="A14" s="795" t="s">
        <v>30</v>
      </c>
      <c r="B14" s="105"/>
      <c r="C14" s="415"/>
      <c r="D14" s="417"/>
      <c r="E14" s="1172" t="s">
        <v>31</v>
      </c>
      <c r="F14" s="1774"/>
      <c r="G14" s="84"/>
      <c r="H14" s="777"/>
      <c r="I14" s="418"/>
      <c r="J14" s="883" t="s">
        <v>32</v>
      </c>
      <c r="Q14" s="416">
        <v>0</v>
      </c>
    </row>
    <row s="1642" customFormat="1" customHeight="1" ht="19.5" hidden="1">
      <c r="A15" s="795" t="s">
        <v>33</v>
      </c>
      <c r="B15" s="105"/>
      <c r="C15" s="415"/>
      <c r="D15" s="417"/>
      <c r="E15" s="1172" t="s">
        <v>34</v>
      </c>
      <c r="F15" s="1774"/>
      <c r="G15" s="84"/>
      <c r="H15" s="777"/>
      <c r="I15" s="418"/>
      <c r="J15" s="883" t="s">
        <v>35</v>
      </c>
      <c r="Q15" s="416">
        <v>0</v>
      </c>
    </row>
    <row s="1619" customFormat="1" customHeight="1" ht="6.3">
      <c r="A16" s="792"/>
      <c r="B16" s="239"/>
      <c r="C16" s="240"/>
      <c r="D16" s="246"/>
      <c r="E16" s="244"/>
      <c r="F16" s="247"/>
      <c r="G16" s="84"/>
      <c r="H16" s="416"/>
      <c r="I16" s="418"/>
      <c r="J16" s="881"/>
      <c r="Q16" s="243">
        <v>6</v>
      </c>
    </row>
    <row customHeight="1" ht="21">
      <c r="D17" s="82"/>
      <c r="E17" s="398" t="s">
        <v>36</v>
      </c>
      <c r="F17" s="2583" t="s">
        <v>37</v>
      </c>
      <c r="G17" s="80"/>
      <c r="H17" s="780" t="s">
        <v>22</v>
      </c>
      <c r="Q17" s="81">
        <v>20</v>
      </c>
    </row>
    <row customHeight="1" ht="25.5">
      <c r="D18" s="82"/>
      <c r="E18" s="1782" t="s">
        <v>38</v>
      </c>
      <c r="F18" s="4833">
        <v>45429</v>
      </c>
      <c r="G18" s="80"/>
      <c r="I18" s="781"/>
      <c r="J18" s="2104" t="s">
        <v>39</v>
      </c>
      <c r="Q18" s="81">
        <v>0</v>
      </c>
    </row>
    <row customHeight="1" ht="25.5">
      <c r="D19" s="82"/>
      <c r="E19" s="1172"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4833">
        <v>45658</v>
      </c>
      <c r="G19" s="80"/>
      <c r="I19" s="781"/>
      <c r="J19" s="2104"/>
      <c r="Q19" s="81">
        <v>0</v>
      </c>
    </row>
    <row customHeight="1" ht="22.5">
      <c r="D20" s="82"/>
      <c r="E20" s="83"/>
      <c r="F20" s="277" t="str">
        <f>"Первичное "&amp;IF(TEMPLATE_GROUP="P","установление тарифов","предложение по тарифам")</f>
        <v>Первичное предложение по тарифам</v>
      </c>
      <c r="G20" s="80"/>
      <c r="I20" s="401"/>
      <c r="J20" s="882" t="s">
        <v>40</v>
      </c>
      <c r="Q20" s="81">
        <v>0</v>
      </c>
    </row>
    <row customHeight="1" ht="19.5">
      <c r="D21" s="82"/>
      <c r="E21" s="398" t="str">
        <f>"Дата "&amp;IF(TEMPLATE_GROUP="P","документа","подачи заявления")&amp;" об утверждении тарифов"</f>
        <v>Дата подачи заявления об утверждении тарифов</v>
      </c>
      <c r="F21" s="1739">
        <v>44680</v>
      </c>
      <c r="G21" s="80"/>
      <c r="I21" s="782"/>
      <c r="Q21" s="81">
        <v>0</v>
      </c>
    </row>
    <row customHeight="1" ht="19.5">
      <c r="D22" s="82"/>
      <c r="E22" s="398" t="str">
        <f>"Номер "&amp;IF(TEMPLATE_GROUP="P","документа","подачи заявления")&amp;" об утверждении тарифов"</f>
        <v>Номер подачи заявления об утверждении тарифов</v>
      </c>
      <c r="F22" s="223" t="s">
        <v>41</v>
      </c>
      <c r="G22" s="80"/>
      <c r="I22" s="782"/>
      <c r="Q22" s="81">
        <v>0</v>
      </c>
    </row>
    <row customHeight="1" ht="22.5" hidden="1">
      <c r="D23" s="82"/>
      <c r="E23" s="398" t="s">
        <v>42</v>
      </c>
      <c r="F23" s="223"/>
      <c r="G23" s="80"/>
      <c r="Q23" s="81">
        <v>0</v>
      </c>
    </row>
    <row customHeight="1" ht="19.5" hidden="1">
      <c r="D24" s="82"/>
      <c r="E24" s="398" t="s">
        <v>43</v>
      </c>
      <c r="F24" s="223"/>
      <c r="G24" s="80"/>
      <c r="Q24" s="81">
        <v>0</v>
      </c>
    </row>
    <row customHeight="1" ht="22.5">
      <c r="D25" s="82"/>
      <c r="E25" s="83"/>
      <c r="F25" s="277" t="str">
        <f>"Изменение "&amp;IF(TEMPLATE_GROUP="P","тарифов","предложения по тарифам")</f>
        <v>Изменение предложения по тарифам</v>
      </c>
      <c r="G25" s="80"/>
      <c r="J25" s="882" t="s">
        <v>44</v>
      </c>
      <c r="Q25" s="81">
        <v>0</v>
      </c>
    </row>
    <row customHeight="1" ht="19.5">
      <c r="D26" s="82"/>
      <c r="E26" s="398" t="str">
        <f>"Дата "&amp;IF(TEMPLATE_GROUP="P","принятия решения","подачи заявления")&amp;" об изменении тарифов"</f>
        <v>Дата подачи заявления об изменении тарифов</v>
      </c>
      <c r="F26" s="4833">
        <v>45432</v>
      </c>
      <c r="G26" s="80"/>
      <c r="Q26" s="81">
        <v>0</v>
      </c>
    </row>
    <row customHeight="1" ht="19.5">
      <c r="D27" s="82"/>
      <c r="E27" s="1172" t="str">
        <f>"Номер "&amp;IF(TEMPLATE_GROUP="P","принятия решения","заявления")&amp;" об изменении тарифов"</f>
        <v>Номер заявления об изменении тарифов</v>
      </c>
      <c r="F27" s="4834" t="s">
        <v>45</v>
      </c>
      <c r="G27" s="80"/>
      <c r="Q27" s="81">
        <v>0</v>
      </c>
    </row>
    <row customHeight="1" ht="24.75" hidden="1">
      <c r="D28" s="82"/>
      <c r="E28" s="398" t="s">
        <v>46</v>
      </c>
      <c r="F28" s="225"/>
      <c r="G28" s="80"/>
      <c r="Q28" s="81">
        <v>0</v>
      </c>
    </row>
    <row customHeight="1" ht="19.5" hidden="1">
      <c r="D29" s="82"/>
      <c r="E29" s="398" t="s">
        <v>43</v>
      </c>
      <c r="F29" s="225"/>
      <c r="G29" s="80"/>
      <c r="Q29" s="81">
        <v>0</v>
      </c>
    </row>
    <row s="1619" customFormat="1" customHeight="1" ht="6.3">
      <c r="A30" s="792"/>
      <c r="B30" s="239"/>
      <c r="C30" s="240"/>
      <c r="D30" s="246"/>
      <c r="E30" s="244"/>
      <c r="F30" s="247"/>
      <c r="G30" s="84"/>
      <c r="H30" s="416"/>
      <c r="I30" s="418"/>
      <c r="J30" s="881"/>
      <c r="Q30" s="243">
        <v>6</v>
      </c>
    </row>
    <row customHeight="1" ht="21">
      <c r="C31" s="85"/>
      <c r="D31" s="86"/>
      <c r="E31" s="398" t="str">
        <f>"Наименование "&amp;IF(TEMPLATE_GROUP="ROIV","органа тарифного регулирования","ЮЛ / ИП")</f>
        <v>Наименование ЮЛ / ИП</v>
      </c>
      <c r="F31" s="224" t="s">
        <v>47</v>
      </c>
      <c r="G31" s="783"/>
      <c r="Q31" s="81">
        <v>20</v>
      </c>
    </row>
    <row customHeight="1" ht="21" hidden="1">
      <c r="C32" s="85"/>
      <c r="D32" s="86"/>
      <c r="E32" s="399" t="s">
        <v>48</v>
      </c>
      <c r="F32" s="224"/>
      <c r="G32" s="783"/>
      <c r="Q32" s="81">
        <v>20</v>
      </c>
    </row>
    <row customHeight="1" ht="21">
      <c r="C33" s="85"/>
      <c r="D33" s="86"/>
      <c r="E33" s="398" t="s">
        <v>49</v>
      </c>
      <c r="F33" s="224" t="s">
        <v>50</v>
      </c>
      <c r="G33" s="783"/>
      <c r="Q33" s="81">
        <v>20</v>
      </c>
    </row>
    <row customHeight="1" ht="21">
      <c r="C34" s="85"/>
      <c r="D34" s="86"/>
      <c r="E34" s="398" t="s">
        <v>51</v>
      </c>
      <c r="F34" s="224" t="s">
        <v>52</v>
      </c>
      <c r="G34" s="783"/>
      <c r="H34" s="87"/>
      <c r="Q34" s="81">
        <v>20</v>
      </c>
    </row>
    <row s="1619" customFormat="1" customHeight="1" ht="11.549999999999999">
      <c r="A35" s="792"/>
      <c r="B35" s="239"/>
      <c r="C35" s="240"/>
      <c r="D35" s="246"/>
      <c r="E35" s="244"/>
      <c r="F35" s="247"/>
      <c r="G35" s="84"/>
      <c r="H35" s="416"/>
      <c r="I35" s="418"/>
      <c r="J35" s="881"/>
      <c r="Q35" s="243">
        <v>11</v>
      </c>
    </row>
    <row customHeight="1" ht="19.5" hidden="1">
      <c r="A36" s="886"/>
      <c r="D36" s="86"/>
      <c r="E36" s="398" t="s">
        <v>53</v>
      </c>
      <c r="F36" s="355"/>
      <c r="G36" s="84"/>
      <c r="Q36" s="81">
        <v>0</v>
      </c>
    </row>
    <row customHeight="1" ht="21">
      <c r="A37" s="886"/>
      <c r="D37" s="86"/>
      <c r="E37" s="398" t="s">
        <v>54</v>
      </c>
      <c r="F37" s="1217" t="s">
        <v>55</v>
      </c>
      <c r="G37" s="84"/>
      <c r="Q37" s="81">
        <v>20</v>
      </c>
    </row>
    <row s="1619" customFormat="1" customHeight="1" ht="6.3">
      <c r="A38" s="792"/>
      <c r="B38" s="239"/>
      <c r="C38" s="240"/>
      <c r="D38" s="241"/>
      <c r="E38" s="242"/>
      <c r="F38" s="1060"/>
      <c r="G38" s="80"/>
      <c r="H38" s="416"/>
      <c r="I38" s="418"/>
      <c r="J38" s="883"/>
      <c r="Q38" s="243">
        <v>6</v>
      </c>
    </row>
    <row customHeight="1" ht="36.75">
      <c r="A39" s="792"/>
      <c r="D39" s="82"/>
      <c r="E39" s="398" t="s">
        <v>56</v>
      </c>
      <c r="F39" s="717" t="s">
        <v>19</v>
      </c>
      <c r="G39" s="80"/>
      <c r="H39" s="780" t="s">
        <v>22</v>
      </c>
      <c r="Q39" s="81">
        <v>35</v>
      </c>
    </row>
    <row s="1619" customFormat="1" customHeight="1" ht="6" hidden="1">
      <c r="A40" s="791"/>
      <c r="B40" s="433"/>
      <c r="C40" s="434"/>
      <c r="D40" s="435"/>
      <c r="E40" s="436"/>
      <c r="F40" s="1060"/>
      <c r="G40" s="80"/>
      <c r="H40" s="416"/>
      <c r="I40" s="418"/>
      <c r="J40" s="883"/>
      <c r="Q40" s="437">
        <v>6</v>
      </c>
    </row>
    <row s="1642" customFormat="1" customHeight="1" ht="26.25" hidden="1">
      <c r="A41" s="795" t="s">
        <v>26</v>
      </c>
      <c r="B41" s="420"/>
      <c r="C41" s="415"/>
      <c r="D41" s="417"/>
      <c r="E41" s="398"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7" t="s">
        <v>19</v>
      </c>
      <c r="G41" s="80"/>
      <c r="I41" s="418"/>
      <c r="J41" s="883"/>
      <c r="Q41" s="416">
        <v>0</v>
      </c>
    </row>
    <row s="1619" customFormat="1" customHeight="1" ht="6" hidden="1">
      <c r="A42" s="791"/>
      <c r="B42" s="433"/>
      <c r="C42" s="434"/>
      <c r="D42" s="435"/>
      <c r="E42" s="436"/>
      <c r="F42" s="1060"/>
      <c r="G42" s="80"/>
      <c r="H42" s="416"/>
      <c r="I42" s="418"/>
      <c r="J42" s="881"/>
      <c r="Q42" s="437">
        <v>0</v>
      </c>
    </row>
    <row s="1642" customFormat="1" customHeight="1" ht="27" hidden="1">
      <c r="A43" s="791"/>
      <c r="B43" s="420"/>
      <c r="C43" s="415"/>
      <c r="D43" s="417"/>
      <c r="E43" s="398" t="s">
        <v>57</v>
      </c>
      <c r="F43" s="717" t="s">
        <v>19</v>
      </c>
      <c r="G43" s="80"/>
      <c r="I43" s="418"/>
      <c r="J43" s="883"/>
      <c r="Q43" s="416">
        <v>0</v>
      </c>
    </row>
    <row s="1642" customFormat="1" customHeight="1" ht="27" hidden="1">
      <c r="A44" s="791"/>
      <c r="B44" s="420"/>
      <c r="C44" s="415"/>
      <c r="D44" s="417"/>
      <c r="E44" s="1172" t="s">
        <v>58</v>
      </c>
      <c r="F44" s="1895"/>
      <c r="G44" s="80"/>
      <c r="I44" s="418"/>
      <c r="J44" s="883"/>
      <c r="Q44" s="416">
        <v>0</v>
      </c>
    </row>
    <row s="1619" customFormat="1" customHeight="1" ht="6" hidden="1">
      <c r="A45" s="791"/>
      <c r="B45" s="433"/>
      <c r="C45" s="434"/>
      <c r="D45" s="435"/>
      <c r="E45" s="436"/>
      <c r="F45" s="1060"/>
      <c r="G45" s="80"/>
      <c r="H45" s="416"/>
      <c r="I45" s="418"/>
      <c r="J45" s="883"/>
      <c r="Q45" s="437">
        <v>0</v>
      </c>
    </row>
    <row s="1619" customFormat="1" customHeight="1" ht="24.75" hidden="1">
      <c r="A46" s="791"/>
      <c r="B46" s="433"/>
      <c r="C46" s="434"/>
      <c r="D46" s="435"/>
      <c r="E46" s="1172" t="s">
        <v>59</v>
      </c>
      <c r="F46" s="717" t="s">
        <v>19</v>
      </c>
      <c r="G46" s="80"/>
      <c r="H46" s="416"/>
      <c r="I46" s="418"/>
      <c r="J46" s="883"/>
      <c r="Q46" s="437">
        <v>0</v>
      </c>
    </row>
    <row s="1642" customFormat="1" customHeight="1" ht="24.75" hidden="1">
      <c r="A47" s="791"/>
      <c r="B47" s="420"/>
      <c r="C47" s="415"/>
      <c r="D47" s="417"/>
      <c r="E47" s="1172" t="s">
        <v>60</v>
      </c>
      <c r="F47" s="717" t="s">
        <v>19</v>
      </c>
      <c r="G47" s="80"/>
      <c r="I47" s="418"/>
      <c r="J47" s="883"/>
      <c r="Q47" s="416">
        <v>0</v>
      </c>
    </row>
    <row s="1619" customFormat="1" customHeight="1" ht="6" hidden="1">
      <c r="A48" s="791"/>
      <c r="B48" s="239"/>
      <c r="C48" s="240"/>
      <c r="D48" s="241"/>
      <c r="E48" s="242"/>
      <c r="F48" s="1060"/>
      <c r="G48" s="80"/>
      <c r="H48" s="416"/>
      <c r="I48" s="418"/>
      <c r="J48" s="883"/>
      <c r="Q48" s="243">
        <v>0</v>
      </c>
    </row>
    <row customHeight="1" ht="29.25" hidden="1">
      <c r="B49" s="155"/>
      <c r="D49" s="82"/>
      <c r="E49" s="398"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7"/>
      <c r="G49" s="80"/>
      <c r="Q49" s="81">
        <v>0</v>
      </c>
    </row>
    <row s="1619" customFormat="1" customHeight="1" ht="6" hidden="1">
      <c r="A50" s="792"/>
      <c r="B50" s="433"/>
      <c r="C50" s="434"/>
      <c r="D50" s="246"/>
      <c r="E50" s="244"/>
      <c r="F50" s="247"/>
      <c r="G50" s="84"/>
      <c r="H50" s="416"/>
      <c r="I50" s="418"/>
      <c r="J50" s="883"/>
      <c r="Q50" s="437">
        <v>0</v>
      </c>
    </row>
    <row s="1642" customFormat="1" customHeight="1" ht="28.5" hidden="1">
      <c r="A51" s="793"/>
      <c r="B51" s="420"/>
      <c r="C51" s="537"/>
      <c r="D51" s="538"/>
      <c r="E51" s="398" t="s">
        <v>61</v>
      </c>
      <c r="F51" s="717" t="s">
        <v>19</v>
      </c>
      <c r="G51" s="539"/>
      <c r="I51" s="541"/>
      <c r="J51" s="885"/>
      <c r="P51" s="542"/>
      <c r="Q51" s="540">
        <v>0</v>
      </c>
    </row>
    <row s="1619" customFormat="1" customHeight="1" ht="6" hidden="1">
      <c r="A52" s="792"/>
      <c r="B52" s="433"/>
      <c r="C52" s="434"/>
      <c r="D52" s="246"/>
      <c r="E52" s="244"/>
      <c r="F52" s="247"/>
      <c r="G52" s="84"/>
      <c r="H52" s="416"/>
      <c r="I52" s="418"/>
      <c r="J52" s="881"/>
      <c r="Q52" s="437">
        <v>0</v>
      </c>
    </row>
    <row s="1642" customFormat="1" customHeight="1" ht="27" hidden="1">
      <c r="A53" s="793"/>
      <c r="B53" s="420"/>
      <c r="C53" s="537"/>
      <c r="D53" s="538"/>
      <c r="E53" s="398" t="s">
        <v>62</v>
      </c>
      <c r="F53" s="1055" t="s">
        <v>19</v>
      </c>
      <c r="G53" s="539"/>
      <c r="I53" s="541"/>
      <c r="J53" s="885"/>
      <c r="P53" s="542"/>
      <c r="Q53" s="540">
        <v>0</v>
      </c>
    </row>
    <row s="1642" customFormat="1" customHeight="1" ht="27" hidden="1">
      <c r="A54" s="793"/>
      <c r="B54" s="420"/>
      <c r="C54" s="537"/>
      <c r="D54" s="538"/>
      <c r="E54" s="398" t="s">
        <v>63</v>
      </c>
      <c r="F54" s="1781"/>
      <c r="G54" s="539"/>
      <c r="I54" s="541"/>
      <c r="J54" s="885"/>
      <c r="P54" s="542"/>
      <c r="Q54" s="540">
        <v>0</v>
      </c>
    </row>
    <row s="1619" customFormat="1" customHeight="1" ht="6" hidden="1">
      <c r="A55" s="792"/>
      <c r="B55" s="433"/>
      <c r="C55" s="434"/>
      <c r="D55" s="246"/>
      <c r="E55" s="244"/>
      <c r="F55" s="247"/>
      <c r="G55" s="84"/>
      <c r="H55" s="416"/>
      <c r="I55" s="418"/>
      <c r="J55" s="881"/>
      <c r="Q55" s="437">
        <v>0</v>
      </c>
    </row>
    <row s="1642" customFormat="1" customHeight="1" ht="25.5" hidden="1">
      <c r="A56" s="793"/>
      <c r="B56" s="420"/>
      <c r="C56" s="537"/>
      <c r="D56" s="538"/>
      <c r="E56" s="398" t="s">
        <v>64</v>
      </c>
      <c r="F56" s="1055" t="s">
        <v>19</v>
      </c>
      <c r="G56" s="539"/>
      <c r="I56" s="541"/>
      <c r="J56" s="885"/>
      <c r="P56" s="542"/>
      <c r="Q56" s="540">
        <v>0</v>
      </c>
    </row>
    <row s="1619" customFormat="1" customHeight="1" ht="6" hidden="1">
      <c r="A57" s="792"/>
      <c r="B57" s="433"/>
      <c r="C57" s="434"/>
      <c r="D57" s="246"/>
      <c r="E57" s="244"/>
      <c r="F57" s="247"/>
      <c r="G57" s="84"/>
      <c r="H57" s="416"/>
      <c r="I57" s="418"/>
      <c r="J57" s="881"/>
      <c r="Q57" s="437">
        <v>0</v>
      </c>
    </row>
    <row s="1642" customFormat="1" customHeight="1" ht="15" hidden="1">
      <c r="A58" s="793"/>
      <c r="B58" s="420"/>
      <c r="C58" s="537"/>
      <c r="D58" s="538"/>
      <c r="E58" s="398" t="s">
        <v>65</v>
      </c>
      <c r="F58" s="1055" t="s">
        <v>66</v>
      </c>
      <c r="G58" s="539"/>
      <c r="I58" s="541"/>
      <c r="J58" s="885"/>
      <c r="P58" s="542"/>
      <c r="Q58" s="540">
        <v>0</v>
      </c>
    </row>
    <row s="1642" customFormat="1" customHeight="1" ht="75" hidden="1">
      <c r="A59" s="793"/>
      <c r="B59" s="420"/>
      <c r="C59" s="537"/>
      <c r="D59" s="538"/>
      <c r="E59" s="398"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6"/>
      <c r="G59" s="539"/>
      <c r="I59" s="541"/>
      <c r="J59" s="885"/>
      <c r="P59" s="542"/>
      <c r="Q59" s="540">
        <v>0</v>
      </c>
    </row>
    <row s="1642" customFormat="1" customHeight="1" ht="15" hidden="1">
      <c r="A60" s="793"/>
      <c r="B60" s="420"/>
      <c r="C60" s="537"/>
      <c r="D60" s="538"/>
      <c r="E60" s="1172" t="s">
        <v>67</v>
      </c>
      <c r="F60" s="1158"/>
      <c r="G60" s="539"/>
      <c r="I60" s="541"/>
      <c r="J60" s="885"/>
      <c r="P60" s="542"/>
      <c r="Q60" s="540">
        <v>0</v>
      </c>
    </row>
    <row s="1619" customFormat="1" customHeight="1" ht="6" hidden="1">
      <c r="A61" s="792"/>
      <c r="B61" s="433"/>
      <c r="C61" s="434"/>
      <c r="D61" s="435"/>
      <c r="E61" s="436"/>
      <c r="F61" s="1060"/>
      <c r="G61" s="80"/>
      <c r="H61" s="416"/>
      <c r="I61" s="418"/>
      <c r="J61" s="883"/>
      <c r="Q61" s="437">
        <v>0</v>
      </c>
    </row>
    <row s="1642" customFormat="1" customHeight="1" ht="33.75" hidden="1">
      <c r="A62" s="792"/>
      <c r="B62" s="105"/>
      <c r="C62" s="415"/>
      <c r="D62" s="417"/>
      <c r="E62" s="1172" t="s">
        <v>68</v>
      </c>
      <c r="F62" s="1678" t="s">
        <v>66</v>
      </c>
      <c r="G62" s="80"/>
      <c r="H62" s="780" t="s">
        <v>22</v>
      </c>
      <c r="I62" s="418"/>
      <c r="J62" s="883"/>
      <c r="Q62" s="416">
        <v>0</v>
      </c>
    </row>
    <row s="1619" customFormat="1" customHeight="1" ht="6.3">
      <c r="A63" s="792"/>
      <c r="B63" s="239"/>
      <c r="C63" s="240"/>
      <c r="D63" s="246"/>
      <c r="E63" s="244"/>
      <c r="F63" s="247"/>
      <c r="G63" s="84"/>
      <c r="H63" s="416"/>
      <c r="I63" s="418"/>
      <c r="J63" s="881"/>
      <c r="Q63" s="243">
        <v>6</v>
      </c>
    </row>
    <row customHeight="1" ht="21">
      <c r="A64" s="794"/>
      <c r="B64" s="106"/>
      <c r="D64" s="89"/>
      <c r="E64" s="398" t="s">
        <v>69</v>
      </c>
      <c r="F64" s="223" t="s">
        <v>70</v>
      </c>
      <c r="G64" s="84"/>
      <c r="Q64" s="81">
        <v>20</v>
      </c>
    </row>
    <row customHeight="1" ht="21">
      <c r="A65" s="794"/>
      <c r="B65" s="106"/>
      <c r="D65" s="89"/>
      <c r="E65" s="398" t="s">
        <v>71</v>
      </c>
      <c r="F65" s="223" t="s">
        <v>72</v>
      </c>
      <c r="G65" s="84"/>
      <c r="Q65" s="81">
        <v>20</v>
      </c>
    </row>
    <row customHeight="1" ht="36.75">
      <c r="D66" s="82"/>
      <c r="E66" s="400" t="s">
        <v>73</v>
      </c>
      <c r="F66" s="1061"/>
      <c r="G66" s="80"/>
      <c r="Q66" s="81">
        <v>35</v>
      </c>
    </row>
    <row customHeight="1" ht="21">
      <c r="A67" s="794"/>
      <c r="D67" s="417"/>
      <c r="E67" s="398" t="s">
        <v>74</v>
      </c>
      <c r="F67" s="278" t="s">
        <v>75</v>
      </c>
      <c r="G67" s="84"/>
      <c r="Q67" s="81">
        <v>20</v>
      </c>
    </row>
    <row customHeight="1" ht="21">
      <c r="A68" s="794"/>
      <c r="B68" s="106"/>
      <c r="D68" s="89"/>
      <c r="E68" s="398" t="s">
        <v>76</v>
      </c>
      <c r="F68" s="278" t="s">
        <v>77</v>
      </c>
      <c r="G68" s="84"/>
      <c r="Q68" s="81">
        <v>20</v>
      </c>
    </row>
    <row customHeight="1" ht="21">
      <c r="A69" s="794"/>
      <c r="B69" s="106"/>
      <c r="D69" s="89"/>
      <c r="E69" s="398" t="s">
        <v>78</v>
      </c>
      <c r="F69" s="278" t="s">
        <v>79</v>
      </c>
      <c r="G69" s="84"/>
      <c r="Q69" s="81">
        <v>20</v>
      </c>
    </row>
    <row customHeight="1" ht="21">
      <c r="D70" s="417"/>
      <c r="E70" s="398" t="s">
        <v>80</v>
      </c>
      <c r="F70" s="278" t="s">
        <v>81</v>
      </c>
      <c r="G70" s="80"/>
      <c r="Q70" s="81">
        <v>20</v>
      </c>
    </row>
    <row customHeight="1" ht="21">
      <c r="A71" s="794"/>
      <c r="D71" s="80"/>
      <c r="F71" s="140"/>
      <c r="G71" s="84"/>
      <c r="Q71" s="81">
        <v>20</v>
      </c>
    </row>
    <row customHeight="1" ht="21">
      <c r="A72" s="794"/>
      <c r="B72" s="106"/>
      <c r="D72" s="89"/>
      <c r="E72" s="88"/>
      <c r="F72" s="1040" t="s">
        <v>13</v>
      </c>
      <c r="G72" s="84"/>
      <c r="Q72" s="81">
        <v>20</v>
      </c>
    </row>
    <row customHeight="1" ht="21">
      <c r="A73" s="794"/>
      <c r="B73" s="106"/>
      <c r="D73" s="89"/>
      <c r="E73" s="88"/>
      <c r="F73" s="141"/>
      <c r="G73" s="84"/>
      <c r="Q73" s="81">
        <v>20</v>
      </c>
    </row>
    <row customHeight="1" ht="21">
      <c r="A74" s="794"/>
      <c r="B74" s="106"/>
      <c r="D74" s="89"/>
      <c r="E74" s="93"/>
      <c r="F74" s="141"/>
      <c r="G74" s="84"/>
      <c r="Q74" s="81">
        <v>20</v>
      </c>
    </row>
    <row customHeight="1" ht="21">
      <c r="A75" s="794"/>
      <c r="B75" s="106"/>
      <c r="D75" s="89"/>
      <c r="E75" s="88"/>
      <c r="F75" s="141"/>
      <c r="G75" s="84"/>
      <c r="Q75" s="81">
        <v>20</v>
      </c>
    </row>
    <row customHeight="1" ht="11.549999999999999">
      <c r="Q76" s="81">
        <v>11</v>
      </c>
    </row>
    <row customHeight="1" ht="11.549999999999999">
      <c r="Q77" s="81">
        <v>11</v>
      </c>
    </row>
    <row customHeight="1" ht="11.549999999999999">
      <c r="E78" s="397"/>
      <c r="F78" s="397"/>
      <c r="G78" s="397"/>
      <c r="H78" s="397"/>
      <c r="I78" s="397"/>
      <c r="Q78" s="81">
        <v>11</v>
      </c>
    </row>
    <row customHeight="1" ht="11.25" hidden="1">
      <c r="A79" s="791" t="s">
        <v>82</v>
      </c>
      <c r="B79" s="105">
        <v>0</v>
      </c>
      <c r="C79" s="79">
        <v>3</v>
      </c>
      <c r="D79" s="81">
        <v>1</v>
      </c>
      <c r="E79" s="81">
        <v>55</v>
      </c>
      <c r="F79" s="81">
        <v>54</v>
      </c>
      <c r="G79" s="778">
        <v>1</v>
      </c>
      <c r="H79" s="416">
        <v>0</v>
      </c>
      <c r="I79" s="418">
        <v>59</v>
      </c>
      <c r="J79" s="883">
        <v>0</v>
      </c>
      <c r="K79" s="81">
        <v>8</v>
      </c>
      <c r="L79" s="81">
        <v>77</v>
      </c>
      <c r="M79" s="81">
        <v>8</v>
      </c>
      <c r="N79" s="81">
        <v>8</v>
      </c>
      <c r="O79" s="81">
        <v>8</v>
      </c>
      <c r="P79" s="81">
        <v>8</v>
      </c>
      <c r="Q79" s="81">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5797C90E-5CE9-53F1-25B3-7F7D4B0E31FD}"/>
    <hyperlink ref="H17" location="Титульный!H9" display="Как заполнить?" tooltip="Помощь по работе с полями отчётной формы" xr:uid="{71CB2588-CDD7-4068-9DD1-44A8397F47C5}"/>
    <hyperlink ref="H39" location="Титульный!H9" display="Как заполнить?" tooltip="Помощь по работе с полями отчётной формы" xr:uid="{38119B9E-8F76-89B4-AA97-F318BB3ECC24}"/>
    <hyperlink ref="H62" location="Титульный!H9" display="Как заполнить?" tooltip="Помощь по работе с полями отчётной формы" xr:uid="{B45D7263-EF46-3911-0807-01610B7B89A1}"/>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2F351D-7D99-FC5A-4156-F778BC30700E}" mc:Ignorable="x14ac xr xr2 xr3">
  <sheetPr>
    <tabColor rgb="FFCCCCFF"/>
    <pageSetUpPr fitToPage="1"/>
  </sheetPr>
  <dimension ref="A1:AC90"/>
  <sheetViews>
    <sheetView showGridLines="0" zoomScale="90" workbookViewId="0">
      <pane xSplit="6" ySplit="11" topLeftCell="G45" activePane="bottomRight" state="frozen"/>
      <selection pane="bottomLeft" activeCell="A12" sqref="A12"/>
      <selection pane="topRight" activeCell="G1" sqref="G1"/>
      <selection pane="bottomRight" activeCell="C76" sqref="C76"/>
    </sheetView>
  </sheetViews>
  <sheetFormatPr defaultColWidth="9.140625" customHeight="1" defaultRowHeight="14.25"/>
  <cols>
    <col min="1" max="1" style="1642" width="8.00390625" hidden="1" customWidth="1"/>
    <col min="2" max="2" style="1373" width="6.00390625" hidden="1" customWidth="1"/>
    <col min="3" max="3" style="1642" width="3.00390625" customWidth="1"/>
    <col min="4" max="4" style="1849" width="3.00390625" customWidth="1"/>
    <col min="5" max="5" style="1642" width="6.00390625" customWidth="1"/>
    <col min="6" max="6" style="1642" width="2.7109375" hidden="1" customWidth="1"/>
    <col min="7" max="7" style="1642" width="46.7109375" customWidth="1"/>
    <col min="8" max="8" style="1642" width="42.00390625" customWidth="1"/>
    <col min="9" max="9" style="1642" width="14.00390625" customWidth="1"/>
    <col min="10" max="10" style="1631" width="3.00390625" customWidth="1"/>
    <col min="11" max="13" style="1631" width="9.140625" hidden="1"/>
    <col min="14" max="14" style="1631" width="25.7109375" hidden="1" customWidth="1"/>
    <col min="15" max="15" style="1631" width="14.421875" hidden="1" customWidth="1"/>
    <col min="16" max="19" style="232" width="9.140625" hidden="1"/>
    <col min="20" max="27" style="1642" width="9.140625" hidden="1"/>
    <col min="28" max="28" style="1642" width="8.00390625" customWidth="1"/>
    <col min="29" max="29" style="1642" width="9.140625" hidden="1"/>
  </cols>
  <sheetData>
    <row s="1649" customFormat="1" customHeight="1" ht="5.25" hidden="1">
      <c r="A1" s="503"/>
      <c r="B1" s="518"/>
      <c r="C1" s="518"/>
      <c r="D1" s="228"/>
      <c r="F1" s="518"/>
      <c r="G1" s="254" t="s">
        <v>83</v>
      </c>
      <c r="H1" s="501" t="s">
        <v>84</v>
      </c>
      <c r="I1" s="234" t="s">
        <v>85</v>
      </c>
      <c r="J1" s="254" t="s">
        <v>83</v>
      </c>
      <c r="K1" s="254"/>
      <c r="L1" s="254"/>
      <c r="M1" s="254"/>
      <c r="N1" s="255"/>
      <c r="O1" s="254"/>
      <c r="P1" s="254"/>
      <c r="Q1" s="254"/>
      <c r="R1" s="254"/>
      <c r="S1" s="254"/>
      <c r="T1" s="234"/>
      <c r="U1" s="234"/>
      <c r="V1" s="234"/>
      <c r="W1" s="234"/>
      <c r="X1" s="234"/>
      <c r="Y1" s="234"/>
      <c r="Z1" s="234"/>
      <c r="AA1" s="234"/>
      <c r="AB1" s="234"/>
      <c r="AC1" s="159" t="s">
        <v>14</v>
      </c>
    </row>
    <row s="1419" customFormat="1" customHeight="1" ht="11.25">
      <c r="A2" s="838"/>
      <c r="B2" s="235"/>
      <c r="C2" s="235"/>
      <c r="D2" s="236"/>
      <c r="E2" s="235"/>
      <c r="F2" s="235"/>
      <c r="G2" s="235"/>
      <c r="H2" s="235"/>
      <c r="I2" s="235"/>
      <c r="J2" s="254"/>
      <c r="K2" s="254"/>
      <c r="L2" s="254"/>
      <c r="M2" s="254"/>
      <c r="N2" s="255"/>
      <c r="O2" s="254"/>
      <c r="P2" s="237"/>
      <c r="Q2" s="237"/>
      <c r="R2" s="237"/>
      <c r="S2" s="237"/>
      <c r="T2" s="236"/>
      <c r="U2" s="236"/>
      <c r="V2" s="236"/>
      <c r="W2" s="236"/>
      <c r="X2" s="236"/>
      <c r="Y2" s="236"/>
      <c r="Z2" s="236"/>
      <c r="AA2" s="236"/>
      <c r="AB2" s="236"/>
      <c r="AC2" s="238">
        <v>11</v>
      </c>
    </row>
    <row s="1826" customFormat="1" customHeight="1" ht="3">
      <c r="A3" s="765"/>
      <c r="B3" s="424"/>
      <c r="C3" s="765"/>
      <c r="D3" s="171"/>
      <c r="E3" s="110"/>
      <c r="F3" s="516"/>
      <c r="G3" s="110"/>
      <c r="H3" s="110"/>
      <c r="I3" s="173"/>
      <c r="J3" s="254"/>
      <c r="K3" s="162"/>
      <c r="L3" s="162"/>
      <c r="M3" s="162"/>
      <c r="N3" s="233"/>
      <c r="O3" s="162"/>
      <c r="P3" s="232"/>
      <c r="Q3" s="232"/>
      <c r="R3" s="232"/>
      <c r="S3" s="232"/>
      <c r="AC3" s="123">
        <v>3</v>
      </c>
    </row>
    <row s="1826" customFormat="1" customHeight="1" ht="27.299999999999997">
      <c r="A4" s="765"/>
      <c r="B4" s="424"/>
      <c r="C4" s="765"/>
      <c r="D4" s="171"/>
      <c r="E4" s="2107" t="str">
        <f>NameTemplatesInListMO</f>
        <v>Перечень муниципальных районов и муниципальных образований (территорий действия тарифа)</v>
      </c>
      <c r="F4" s="2107"/>
      <c r="G4" s="2107"/>
      <c r="H4" s="2107"/>
      <c r="I4" s="2107"/>
      <c r="J4" s="254"/>
      <c r="K4" s="162"/>
      <c r="L4" s="162"/>
      <c r="M4" s="162"/>
      <c r="N4" s="233"/>
      <c r="O4" s="162"/>
      <c r="P4" s="232"/>
      <c r="Q4" s="232"/>
      <c r="R4" s="232"/>
      <c r="S4" s="232"/>
      <c r="AC4" s="123">
        <v>26</v>
      </c>
    </row>
    <row s="1826" customFormat="1" customHeight="1" ht="3">
      <c r="A5" s="765"/>
      <c r="B5" s="424"/>
      <c r="C5" s="765"/>
      <c r="D5" s="171"/>
      <c r="E5" s="110"/>
      <c r="F5" s="516"/>
      <c r="G5" s="174"/>
      <c r="H5" s="174"/>
      <c r="I5" s="175"/>
      <c r="J5" s="162"/>
      <c r="K5" s="162"/>
      <c r="L5" s="162"/>
      <c r="M5" s="162"/>
      <c r="N5" s="233"/>
      <c r="O5" s="162"/>
      <c r="P5" s="232"/>
      <c r="Q5" s="232"/>
      <c r="R5" s="232"/>
      <c r="S5" s="232"/>
      <c r="AC5" s="123">
        <v>3</v>
      </c>
    </row>
    <row s="1826" customFormat="1" customHeight="1" ht="20.25" hidden="1">
      <c r="A6" s="844"/>
      <c r="B6" s="840"/>
      <c r="C6" s="176"/>
      <c r="D6" s="171"/>
      <c r="E6" s="786"/>
      <c r="F6" s="786"/>
      <c r="G6" s="174"/>
      <c r="H6" s="177"/>
      <c r="I6" s="177"/>
      <c r="J6" s="162"/>
      <c r="K6" s="162"/>
      <c r="L6" s="162"/>
      <c r="M6" s="162"/>
      <c r="N6" s="233"/>
      <c r="O6" s="162"/>
      <c r="P6" s="232"/>
      <c r="Q6" s="232"/>
      <c r="R6" s="232"/>
      <c r="S6" s="232"/>
      <c r="AC6" s="123">
        <v>0</v>
      </c>
    </row>
    <row customHeight="1" ht="25.5" hidden="1">
      <c r="AC7" s="90">
        <v>0</v>
      </c>
    </row>
    <row s="1826" customFormat="1" customHeight="1" ht="14.699999999999998">
      <c r="A8" s="765"/>
      <c r="B8" s="424"/>
      <c r="C8" s="765"/>
      <c r="D8" s="171"/>
      <c r="E8" s="2108" t="s">
        <v>86</v>
      </c>
      <c r="F8" s="2109"/>
      <c r="G8" s="2110"/>
      <c r="H8" s="2111" t="s">
        <v>87</v>
      </c>
      <c r="I8" s="2111"/>
      <c r="J8" s="162"/>
      <c r="K8" s="162"/>
      <c r="L8" s="162"/>
      <c r="M8" s="162"/>
      <c r="N8" s="233"/>
      <c r="O8" s="162"/>
      <c r="P8" s="232"/>
      <c r="Q8" s="232"/>
      <c r="R8" s="232"/>
      <c r="S8" s="232"/>
      <c r="AC8" s="123">
        <v>14</v>
      </c>
    </row>
    <row s="1826" customFormat="1" customHeight="1" ht="21">
      <c r="A9" s="765"/>
      <c r="B9" s="424"/>
      <c r="C9" s="765"/>
      <c r="D9" s="171"/>
      <c r="E9" s="784" t="s">
        <v>88</v>
      </c>
      <c r="F9" s="784"/>
      <c r="G9" s="179" t="s">
        <v>89</v>
      </c>
      <c r="H9" s="179" t="s">
        <v>89</v>
      </c>
      <c r="I9" s="179" t="s">
        <v>85</v>
      </c>
      <c r="J9" s="162"/>
      <c r="K9" s="162"/>
      <c r="L9" s="162"/>
      <c r="M9" s="162"/>
      <c r="N9" s="233"/>
      <c r="O9" s="162"/>
      <c r="P9" s="232"/>
      <c r="Q9" s="232"/>
      <c r="R9" s="232"/>
      <c r="S9" s="232"/>
      <c r="AC9" s="123">
        <v>20</v>
      </c>
    </row>
    <row customHeight="1" ht="11.549999999999999">
      <c r="D10" s="183"/>
      <c r="E10" s="785" t="s">
        <v>90</v>
      </c>
      <c r="F10" s="785"/>
      <c r="G10" s="230" t="s">
        <v>91</v>
      </c>
      <c r="H10" s="230" t="s">
        <v>92</v>
      </c>
      <c r="I10" s="230" t="s">
        <v>93</v>
      </c>
      <c r="J10" s="193"/>
      <c r="K10" s="193"/>
      <c r="L10" s="193"/>
      <c r="M10" s="193"/>
      <c r="N10" s="178"/>
      <c r="O10" s="193"/>
      <c r="P10" s="231"/>
      <c r="Q10" s="231"/>
      <c r="R10" s="231"/>
      <c r="S10" s="231"/>
      <c r="AC10" s="90">
        <v>11</v>
      </c>
    </row>
    <row s="1826" customFormat="1" customHeight="1" ht="1.05">
      <c r="A11" s="765"/>
      <c r="B11" s="424"/>
      <c r="C11" s="765"/>
      <c r="D11" s="171"/>
      <c r="E11" s="797"/>
      <c r="F11" s="797"/>
      <c r="G11" s="180"/>
      <c r="H11" s="180"/>
      <c r="I11" s="182"/>
      <c r="J11" s="256" t="s">
        <v>94</v>
      </c>
      <c r="K11" s="162"/>
      <c r="L11" s="162"/>
      <c r="M11" s="162" t="s">
        <v>95</v>
      </c>
      <c r="N11" s="233" t="s">
        <v>96</v>
      </c>
      <c r="O11" s="162" t="s">
        <v>97</v>
      </c>
      <c r="P11" s="232"/>
      <c r="Q11" s="232"/>
      <c r="R11" s="232"/>
      <c r="S11" s="232"/>
      <c r="AC11" s="123">
        <v>1</v>
      </c>
    </row>
    <row s="1826" customFormat="1" customHeight="1" ht="15">
      <c r="A12" s="2106">
        <v>1</v>
      </c>
      <c r="B12" s="424"/>
      <c r="C12" s="765"/>
      <c r="D12" s="789"/>
      <c r="E12" s="226">
        <f>A12</f>
        <v>1</v>
      </c>
      <c r="F12" s="809" t="s">
        <v>98</v>
      </c>
      <c r="G12" s="547" t="str">
        <f>"Территория "&amp;E12</f>
        <v>Территория 1</v>
      </c>
      <c r="H12" s="799"/>
      <c r="I12" s="799"/>
      <c r="J12" s="796"/>
      <c r="K12" s="507"/>
      <c r="L12" s="507"/>
      <c r="M12" s="507"/>
      <c r="N12" s="233"/>
      <c r="O12" s="507"/>
      <c r="P12" s="232"/>
      <c r="Q12" s="232"/>
      <c r="R12" s="232"/>
      <c r="S12" s="232"/>
      <c r="AC12" s="514">
        <v>14</v>
      </c>
    </row>
    <row s="1857" customFormat="1" customHeight="1" ht="15.75">
      <c r="A13" s="2106"/>
      <c r="B13" s="424">
        <v>1</v>
      </c>
      <c r="C13" s="424"/>
      <c r="D13" s="807"/>
      <c r="E13" s="787" t="str">
        <f>A12&amp;"."&amp;B13</f>
        <v>1.1</v>
      </c>
      <c r="F13" s="802" t="s">
        <v>99</v>
      </c>
      <c r="G13" s="800" t="s">
        <v>100</v>
      </c>
      <c r="H13" s="800" t="s">
        <v>100</v>
      </c>
      <c r="I13" s="798" t="s">
        <v>101</v>
      </c>
      <c r="J13" s="507">
        <f>MERGEVALUE(G13)</f>
      </c>
      <c r="K13" s="518"/>
      <c r="L13" s="518"/>
      <c r="M13" s="507" t="str">
        <f t="array" ref="M13:M13">IF(ISERROR(MATCH(MID(N13,1,250),MID(note_ter,1,250),0)),"n","y")</f>
        <v>n</v>
      </c>
      <c r="N13" s="518"/>
      <c r="O13" s="507" t="str">
        <f>H13&amp;"("&amp;I13&amp;")"</f>
        <v>Белгородский муниципальный район(14610000)</v>
      </c>
      <c r="P13" s="424"/>
      <c r="Q13" s="424"/>
      <c r="R13" s="427"/>
      <c r="S13" s="424"/>
      <c r="T13" s="424"/>
      <c r="U13" s="424"/>
      <c r="V13" s="429"/>
      <c r="W13" s="429"/>
      <c r="X13" s="426"/>
      <c r="Y13" s="426"/>
      <c r="Z13" s="426"/>
      <c r="AA13" s="426"/>
      <c r="AB13" s="426"/>
      <c r="AC13" s="430">
        <v>15</v>
      </c>
    </row>
    <row customHeight="1" ht="15">
      <c r="A14" s="1889"/>
      <c r="B14" s="1373" t="s">
        <v>99</v>
      </c>
      <c r="C14" s="1373"/>
      <c r="D14" s="807" t="s">
        <v>102</v>
      </c>
      <c r="E14" s="1885" t="str">
        <f>A12&amp;"."&amp;B14</f>
        <v>1.2</v>
      </c>
      <c r="F14" s="1890" t="s">
        <v>103</v>
      </c>
      <c r="G14" s="1894" t="s">
        <v>104</v>
      </c>
      <c r="H14" s="1894" t="s">
        <v>104</v>
      </c>
      <c r="I14" s="1892" t="s">
        <v>105</v>
      </c>
      <c r="J14" s="1631"/>
      <c r="K14" s="1643"/>
      <c r="L14" s="1643"/>
      <c r="M14" s="1631" t="str">
        <f t="array" ref="M14:M14">IF(ISERROR(MATCH(MID(N14,1,250),MID(note_ter,1,250),0)),"n","y")</f>
        <v>n</v>
      </c>
      <c r="N14" s="1643"/>
      <c r="O14" s="1631" t="str">
        <f>H14&amp;"("&amp;I14&amp;")"</f>
        <v>город Белгород(14701000)</v>
      </c>
      <c r="P14" s="1373"/>
      <c r="Q14" s="1373"/>
      <c r="R14" s="427"/>
      <c r="S14" s="1373"/>
      <c r="T14" s="1373"/>
      <c r="U14" s="1373"/>
      <c r="V14" s="840"/>
      <c r="W14" s="840"/>
      <c r="X14" s="634"/>
      <c r="Y14" s="634"/>
      <c r="Z14" s="634"/>
      <c r="AA14" s="634"/>
      <c r="AB14" s="634"/>
      <c r="AC14" s="634"/>
    </row>
    <row s="1857" customFormat="1" customHeight="1" ht="15.75">
      <c r="A15" s="2106"/>
      <c r="B15" s="424"/>
      <c r="C15" s="419"/>
      <c r="D15" s="808"/>
      <c r="E15" s="428"/>
      <c r="F15" s="184"/>
      <c r="G15" s="422" t="s">
        <v>106</v>
      </c>
      <c r="H15" s="194"/>
      <c r="I15" s="431"/>
      <c r="J15" s="518"/>
      <c r="K15" s="518"/>
      <c r="L15" s="518"/>
      <c r="M15" s="518"/>
      <c r="N15" s="507"/>
      <c r="O15" s="518"/>
      <c r="P15" s="424"/>
      <c r="Q15" s="424"/>
      <c r="R15" s="427"/>
      <c r="S15" s="424"/>
      <c r="T15" s="424"/>
      <c r="U15" s="424"/>
      <c r="V15" s="429"/>
      <c r="W15" s="429"/>
      <c r="X15" s="426"/>
      <c r="Y15" s="426"/>
      <c r="Z15" s="426"/>
      <c r="AA15" s="426"/>
      <c r="AB15" s="426"/>
      <c r="AC15" s="430">
        <v>15</v>
      </c>
    </row>
    <row customHeight="1" ht="15">
      <c r="A16" s="2224" t="s">
        <v>99</v>
      </c>
      <c r="B16" s="1167"/>
      <c r="C16" s="808" t="s">
        <v>102</v>
      </c>
      <c r="D16" s="1825"/>
      <c r="E16" s="1812" t="str">
        <f>A16</f>
        <v>2</v>
      </c>
      <c r="F16" s="811" t="s">
        <v>107</v>
      </c>
      <c r="G16" s="547" t="str">
        <f>"Территория "&amp;E16</f>
        <v>Территория 2</v>
      </c>
      <c r="H16" s="799"/>
      <c r="I16" s="799"/>
      <c r="J16" s="796"/>
      <c r="K16" s="1631"/>
      <c r="L16" s="1631"/>
      <c r="M16" s="1631"/>
      <c r="N16" s="233"/>
      <c r="O16" s="1631"/>
      <c r="P16" s="232"/>
      <c r="Q16" s="232"/>
      <c r="R16" s="232"/>
      <c r="S16" s="232"/>
      <c r="T16" s="1826"/>
      <c r="U16" s="1826"/>
      <c r="V16" s="1826"/>
      <c r="W16" s="1826"/>
      <c r="X16" s="1826"/>
      <c r="Y16" s="1826"/>
      <c r="Z16" s="1826"/>
      <c r="AA16" s="1826"/>
      <c r="AB16" s="1826"/>
      <c r="AC16" s="1826"/>
    </row>
    <row customHeight="1" ht="15">
      <c r="A17" s="2224"/>
      <c r="B17" s="1167">
        <v>1</v>
      </c>
      <c r="C17" s="1167"/>
      <c r="D17" s="807"/>
      <c r="E17" s="1820" t="str">
        <f>A16&amp;"."&amp;B17</f>
        <v>2.1</v>
      </c>
      <c r="F17" s="810" t="s">
        <v>108</v>
      </c>
      <c r="G17" s="800" t="s">
        <v>109</v>
      </c>
      <c r="H17" s="800" t="s">
        <v>109</v>
      </c>
      <c r="I17" s="798" t="s">
        <v>110</v>
      </c>
      <c r="J17" s="1631"/>
      <c r="K17" s="1643"/>
      <c r="L17" s="1643"/>
      <c r="M17" s="1631" t="str">
        <f t="array" ref="M17:M17">IF(ISERROR(MATCH(MID(N17,1,250),MID(note_ter,1,250),0)),"n","y")</f>
        <v>n</v>
      </c>
      <c r="N17" s="1643"/>
      <c r="O17" s="1631" t="str">
        <f>H17&amp;"("&amp;I17&amp;")"</f>
        <v>Алексеевский городской округ(14710000)</v>
      </c>
      <c r="P17" s="1167"/>
      <c r="Q17" s="1167"/>
      <c r="R17" s="427"/>
      <c r="S17" s="1167"/>
      <c r="T17" s="1167"/>
      <c r="U17" s="1167"/>
      <c r="V17" s="429"/>
      <c r="W17" s="429"/>
      <c r="X17" s="426"/>
      <c r="Y17" s="426"/>
      <c r="Z17" s="426"/>
      <c r="AA17" s="426"/>
      <c r="AB17" s="426"/>
      <c r="AC17" s="426"/>
    </row>
    <row customHeight="1" ht="15">
      <c r="A18" s="2224"/>
      <c r="B18" s="1167"/>
      <c r="C18" s="419"/>
      <c r="D18" s="808"/>
      <c r="E18" s="428"/>
      <c r="F18" s="184"/>
      <c r="G18" s="422" t="s">
        <v>106</v>
      </c>
      <c r="H18" s="194"/>
      <c r="I18" s="431"/>
      <c r="J18" s="1643"/>
      <c r="K18" s="1643"/>
      <c r="L18" s="1643"/>
      <c r="M18" s="1643"/>
      <c r="N18" s="1631"/>
      <c r="O18" s="1643"/>
      <c r="P18" s="1167"/>
      <c r="Q18" s="1167"/>
      <c r="R18" s="427"/>
      <c r="S18" s="1167"/>
      <c r="T18" s="1167"/>
      <c r="U18" s="1167"/>
      <c r="V18" s="429"/>
      <c r="W18" s="429"/>
      <c r="X18" s="426"/>
      <c r="Y18" s="426"/>
      <c r="Z18" s="426"/>
      <c r="AA18" s="426"/>
      <c r="AB18" s="426"/>
      <c r="AC18" s="426"/>
    </row>
    <row customHeight="1" ht="15">
      <c r="A19" s="2224" t="s">
        <v>90</v>
      </c>
      <c r="B19" s="1167"/>
      <c r="C19" s="808" t="s">
        <v>102</v>
      </c>
      <c r="D19" s="1825"/>
      <c r="E19" s="1812" t="str">
        <f>A19</f>
        <v>3</v>
      </c>
      <c r="F19" s="811" t="s">
        <v>111</v>
      </c>
      <c r="G19" s="547" t="str">
        <f>"Территория "&amp;E19</f>
        <v>Территория 3</v>
      </c>
      <c r="H19" s="799"/>
      <c r="I19" s="799"/>
      <c r="J19" s="796"/>
      <c r="K19" s="1631"/>
      <c r="L19" s="1631"/>
      <c r="M19" s="1631"/>
      <c r="N19" s="233"/>
      <c r="O19" s="1631"/>
      <c r="P19" s="232"/>
      <c r="Q19" s="232"/>
      <c r="R19" s="232"/>
      <c r="S19" s="232"/>
      <c r="T19" s="1826"/>
      <c r="U19" s="1826"/>
      <c r="V19" s="1826"/>
      <c r="W19" s="1826"/>
      <c r="X19" s="1826"/>
      <c r="Y19" s="1826"/>
      <c r="Z19" s="1826"/>
      <c r="AA19" s="1826"/>
      <c r="AB19" s="1826"/>
      <c r="AC19" s="1826"/>
    </row>
    <row customHeight="1" ht="15">
      <c r="A20" s="2224"/>
      <c r="B20" s="1167">
        <v>1</v>
      </c>
      <c r="C20" s="1167"/>
      <c r="D20" s="807"/>
      <c r="E20" s="1820" t="str">
        <f>A19&amp;"."&amp;B20</f>
        <v>3.1</v>
      </c>
      <c r="F20" s="810" t="s">
        <v>112</v>
      </c>
      <c r="G20" s="800" t="s">
        <v>113</v>
      </c>
      <c r="H20" s="800" t="s">
        <v>113</v>
      </c>
      <c r="I20" s="798" t="s">
        <v>114</v>
      </c>
      <c r="J20" s="1631"/>
      <c r="K20" s="1643"/>
      <c r="L20" s="1643"/>
      <c r="M20" s="1631" t="str">
        <f t="array" ref="M20:M20">IF(ISERROR(MATCH(MID(N20,1,250),MID(note_ter,1,250),0)),"n","y")</f>
        <v>n</v>
      </c>
      <c r="N20" s="1643"/>
      <c r="O20" s="1631" t="str">
        <f>H20&amp;"("&amp;I20&amp;")"</f>
        <v>Борисовский район(14615000)</v>
      </c>
      <c r="P20" s="1167"/>
      <c r="Q20" s="1167"/>
      <c r="R20" s="427"/>
      <c r="S20" s="1167"/>
      <c r="T20" s="1167"/>
      <c r="U20" s="1167"/>
      <c r="V20" s="429"/>
      <c r="W20" s="429"/>
      <c r="X20" s="426"/>
      <c r="Y20" s="426"/>
      <c r="Z20" s="426"/>
      <c r="AA20" s="426"/>
      <c r="AB20" s="426"/>
      <c r="AC20" s="426"/>
    </row>
    <row customHeight="1" ht="15">
      <c r="A21" s="2224"/>
      <c r="B21" s="1167"/>
      <c r="C21" s="419"/>
      <c r="D21" s="808"/>
      <c r="E21" s="428"/>
      <c r="F21" s="184"/>
      <c r="G21" s="422" t="s">
        <v>106</v>
      </c>
      <c r="H21" s="194"/>
      <c r="I21" s="431"/>
      <c r="J21" s="1643"/>
      <c r="K21" s="1643"/>
      <c r="L21" s="1643"/>
      <c r="M21" s="1643"/>
      <c r="N21" s="1631"/>
      <c r="O21" s="1643"/>
      <c r="P21" s="1167"/>
      <c r="Q21" s="1167"/>
      <c r="R21" s="427"/>
      <c r="S21" s="1167"/>
      <c r="T21" s="1167"/>
      <c r="U21" s="1167"/>
      <c r="V21" s="429"/>
      <c r="W21" s="429"/>
      <c r="X21" s="426"/>
      <c r="Y21" s="426"/>
      <c r="Z21" s="426"/>
      <c r="AA21" s="426"/>
      <c r="AB21" s="426"/>
      <c r="AC21" s="426"/>
    </row>
    <row customHeight="1" ht="15">
      <c r="A22" s="2224" t="s">
        <v>91</v>
      </c>
      <c r="B22" s="1167"/>
      <c r="C22" s="808" t="s">
        <v>102</v>
      </c>
      <c r="D22" s="1825"/>
      <c r="E22" s="1812" t="str">
        <f>A22</f>
        <v>4</v>
      </c>
      <c r="F22" s="811" t="s">
        <v>115</v>
      </c>
      <c r="G22" s="547" t="str">
        <f>"Территория "&amp;E22</f>
        <v>Территория 4</v>
      </c>
      <c r="H22" s="799"/>
      <c r="I22" s="799"/>
      <c r="J22" s="796"/>
      <c r="K22" s="1631"/>
      <c r="L22" s="1631"/>
      <c r="M22" s="1631"/>
      <c r="N22" s="233"/>
      <c r="O22" s="1631"/>
      <c r="P22" s="232"/>
      <c r="Q22" s="232"/>
      <c r="R22" s="232"/>
      <c r="S22" s="232"/>
      <c r="T22" s="1826"/>
      <c r="U22" s="1826"/>
      <c r="V22" s="1826"/>
      <c r="W22" s="1826"/>
      <c r="X22" s="1826"/>
      <c r="Y22" s="1826"/>
      <c r="Z22" s="1826"/>
      <c r="AA22" s="1826"/>
      <c r="AB22" s="1826"/>
      <c r="AC22" s="1826"/>
    </row>
    <row customHeight="1" ht="15">
      <c r="A23" s="2224"/>
      <c r="B23" s="1167">
        <v>1</v>
      </c>
      <c r="C23" s="1167"/>
      <c r="D23" s="807"/>
      <c r="E23" s="1820" t="str">
        <f>A22&amp;"."&amp;B23</f>
        <v>4.1</v>
      </c>
      <c r="F23" s="810" t="s">
        <v>116</v>
      </c>
      <c r="G23" s="800" t="s">
        <v>117</v>
      </c>
      <c r="H23" s="800" t="s">
        <v>117</v>
      </c>
      <c r="I23" s="798" t="s">
        <v>118</v>
      </c>
      <c r="J23" s="1631"/>
      <c r="K23" s="1643"/>
      <c r="L23" s="1643"/>
      <c r="M23" s="1631" t="str">
        <f t="array" ref="M23:M23">IF(ISERROR(MATCH(MID(N23,1,250),MID(note_ter,1,250),0)),"n","y")</f>
        <v>n</v>
      </c>
      <c r="N23" s="1643"/>
      <c r="O23" s="1631" t="str">
        <f>H23&amp;"("&amp;I23&amp;")"</f>
        <v>Валуйский городской округ(14720000)</v>
      </c>
      <c r="P23" s="1167"/>
      <c r="Q23" s="1167"/>
      <c r="R23" s="427"/>
      <c r="S23" s="1167"/>
      <c r="T23" s="1167"/>
      <c r="U23" s="1167"/>
      <c r="V23" s="429"/>
      <c r="W23" s="429"/>
      <c r="X23" s="426"/>
      <c r="Y23" s="426"/>
      <c r="Z23" s="426"/>
      <c r="AA23" s="426"/>
      <c r="AB23" s="426"/>
      <c r="AC23" s="426"/>
    </row>
    <row customHeight="1" ht="15">
      <c r="A24" s="2224"/>
      <c r="B24" s="1167"/>
      <c r="C24" s="419"/>
      <c r="D24" s="808"/>
      <c r="E24" s="428"/>
      <c r="F24" s="184"/>
      <c r="G24" s="422" t="s">
        <v>106</v>
      </c>
      <c r="H24" s="194"/>
      <c r="I24" s="431"/>
      <c r="J24" s="1643"/>
      <c r="K24" s="1643"/>
      <c r="L24" s="1643"/>
      <c r="M24" s="1643"/>
      <c r="N24" s="1631"/>
      <c r="O24" s="1643"/>
      <c r="P24" s="1167"/>
      <c r="Q24" s="1167"/>
      <c r="R24" s="427"/>
      <c r="S24" s="1167"/>
      <c r="T24" s="1167"/>
      <c r="U24" s="1167"/>
      <c r="V24" s="429"/>
      <c r="W24" s="429"/>
      <c r="X24" s="426"/>
      <c r="Y24" s="426"/>
      <c r="Z24" s="426"/>
      <c r="AA24" s="426"/>
      <c r="AB24" s="426"/>
      <c r="AC24" s="426"/>
    </row>
    <row customHeight="1" ht="15">
      <c r="A25" s="2224" t="s">
        <v>119</v>
      </c>
      <c r="B25" s="1167"/>
      <c r="C25" s="808" t="s">
        <v>102</v>
      </c>
      <c r="D25" s="1825"/>
      <c r="E25" s="1812" t="str">
        <f>A25</f>
        <v>5</v>
      </c>
      <c r="F25" s="811" t="s">
        <v>120</v>
      </c>
      <c r="G25" s="547" t="str">
        <f>"Территория "&amp;E25</f>
        <v>Территория 5</v>
      </c>
      <c r="H25" s="799"/>
      <c r="I25" s="799"/>
      <c r="J25" s="796"/>
      <c r="K25" s="1631"/>
      <c r="L25" s="1631"/>
      <c r="M25" s="1631"/>
      <c r="N25" s="233"/>
      <c r="O25" s="1631"/>
      <c r="P25" s="232"/>
      <c r="Q25" s="232"/>
      <c r="R25" s="232"/>
      <c r="S25" s="232"/>
      <c r="T25" s="1826"/>
      <c r="U25" s="1826"/>
      <c r="V25" s="1826"/>
      <c r="W25" s="1826"/>
      <c r="X25" s="1826"/>
      <c r="Y25" s="1826"/>
      <c r="Z25" s="1826"/>
      <c r="AA25" s="1826"/>
      <c r="AB25" s="1826"/>
      <c r="AC25" s="1826"/>
    </row>
    <row customHeight="1" ht="15">
      <c r="A26" s="2224"/>
      <c r="B26" s="1167">
        <v>1</v>
      </c>
      <c r="C26" s="1167"/>
      <c r="D26" s="807"/>
      <c r="E26" s="1820" t="str">
        <f>A25&amp;"."&amp;B26</f>
        <v>5.1</v>
      </c>
      <c r="F26" s="810" t="s">
        <v>121</v>
      </c>
      <c r="G26" s="800" t="s">
        <v>122</v>
      </c>
      <c r="H26" s="800" t="s">
        <v>122</v>
      </c>
      <c r="I26" s="798" t="s">
        <v>123</v>
      </c>
      <c r="J26" s="1631"/>
      <c r="K26" s="1643"/>
      <c r="L26" s="1643"/>
      <c r="M26" s="1631" t="str">
        <f t="array" ref="M26:M26">IF(ISERROR(MATCH(MID(N26,1,250),MID(note_ter,1,250),0)),"n","y")</f>
        <v>n</v>
      </c>
      <c r="N26" s="1643"/>
      <c r="O26" s="1631" t="str">
        <f>H26&amp;"("&amp;I26&amp;")"</f>
        <v>Вейделевский муниципальный район(14625000)</v>
      </c>
      <c r="P26" s="1167"/>
      <c r="Q26" s="1167"/>
      <c r="R26" s="427"/>
      <c r="S26" s="1167"/>
      <c r="T26" s="1167"/>
      <c r="U26" s="1167"/>
      <c r="V26" s="429"/>
      <c r="W26" s="429"/>
      <c r="X26" s="426"/>
      <c r="Y26" s="426"/>
      <c r="Z26" s="426"/>
      <c r="AA26" s="426"/>
      <c r="AB26" s="426"/>
      <c r="AC26" s="426"/>
    </row>
    <row customHeight="1" ht="15">
      <c r="A27" s="2224"/>
      <c r="B27" s="1167"/>
      <c r="C27" s="419"/>
      <c r="D27" s="808"/>
      <c r="E27" s="428"/>
      <c r="F27" s="184"/>
      <c r="G27" s="422" t="s">
        <v>106</v>
      </c>
      <c r="H27" s="194"/>
      <c r="I27" s="431"/>
      <c r="J27" s="1643"/>
      <c r="K27" s="1643"/>
      <c r="L27" s="1643"/>
      <c r="M27" s="1643"/>
      <c r="N27" s="1631"/>
      <c r="O27" s="1643"/>
      <c r="P27" s="1167"/>
      <c r="Q27" s="1167"/>
      <c r="R27" s="427"/>
      <c r="S27" s="1167"/>
      <c r="T27" s="1167"/>
      <c r="U27" s="1167"/>
      <c r="V27" s="429"/>
      <c r="W27" s="429"/>
      <c r="X27" s="426"/>
      <c r="Y27" s="426"/>
      <c r="Z27" s="426"/>
      <c r="AA27" s="426"/>
      <c r="AB27" s="426"/>
      <c r="AC27" s="426"/>
    </row>
    <row customHeight="1" ht="15">
      <c r="A28" s="2224" t="s">
        <v>92</v>
      </c>
      <c r="B28" s="1167"/>
      <c r="C28" s="808" t="s">
        <v>102</v>
      </c>
      <c r="D28" s="1825"/>
      <c r="E28" s="1812" t="str">
        <f>A28</f>
        <v>6</v>
      </c>
      <c r="F28" s="811" t="s">
        <v>124</v>
      </c>
      <c r="G28" s="547" t="str">
        <f>"Территория "&amp;E28</f>
        <v>Территория 6</v>
      </c>
      <c r="H28" s="799"/>
      <c r="I28" s="799"/>
      <c r="J28" s="796"/>
      <c r="K28" s="1631"/>
      <c r="L28" s="1631"/>
      <c r="M28" s="1631"/>
      <c r="N28" s="233"/>
      <c r="O28" s="1631"/>
      <c r="P28" s="232"/>
      <c r="Q28" s="232"/>
      <c r="R28" s="232"/>
      <c r="S28" s="232"/>
      <c r="T28" s="1826"/>
      <c r="U28" s="1826"/>
      <c r="V28" s="1826"/>
      <c r="W28" s="1826"/>
      <c r="X28" s="1826"/>
      <c r="Y28" s="1826"/>
      <c r="Z28" s="1826"/>
      <c r="AA28" s="1826"/>
      <c r="AB28" s="1826"/>
      <c r="AC28" s="1826"/>
    </row>
    <row customHeight="1" ht="15">
      <c r="A29" s="2224"/>
      <c r="B29" s="1167">
        <v>1</v>
      </c>
      <c r="C29" s="1167"/>
      <c r="D29" s="807"/>
      <c r="E29" s="1820" t="str">
        <f>A28&amp;"."&amp;B29</f>
        <v>6.1</v>
      </c>
      <c r="F29" s="810" t="s">
        <v>125</v>
      </c>
      <c r="G29" s="800" t="s">
        <v>126</v>
      </c>
      <c r="H29" s="800" t="s">
        <v>126</v>
      </c>
      <c r="I29" s="798" t="s">
        <v>127</v>
      </c>
      <c r="J29" s="1631"/>
      <c r="K29" s="1643"/>
      <c r="L29" s="1643"/>
      <c r="M29" s="1631" t="str">
        <f t="array" ref="M29:M29">IF(ISERROR(MATCH(MID(N29,1,250),MID(note_ter,1,250),0)),"n","y")</f>
        <v>n</v>
      </c>
      <c r="N29" s="1643"/>
      <c r="O29" s="1631" t="str">
        <f>H29&amp;"("&amp;I29&amp;")"</f>
        <v>Волоконовский муниципальный район(14630000)</v>
      </c>
      <c r="P29" s="1167"/>
      <c r="Q29" s="1167"/>
      <c r="R29" s="427"/>
      <c r="S29" s="1167"/>
      <c r="T29" s="1167"/>
      <c r="U29" s="1167"/>
      <c r="V29" s="429"/>
      <c r="W29" s="429"/>
      <c r="X29" s="426"/>
      <c r="Y29" s="426"/>
      <c r="Z29" s="426"/>
      <c r="AA29" s="426"/>
      <c r="AB29" s="426"/>
      <c r="AC29" s="426"/>
    </row>
    <row customHeight="1" ht="15">
      <c r="A30" s="2224"/>
      <c r="B30" s="1167"/>
      <c r="C30" s="419"/>
      <c r="D30" s="808"/>
      <c r="E30" s="428"/>
      <c r="F30" s="184"/>
      <c r="G30" s="422" t="s">
        <v>106</v>
      </c>
      <c r="H30" s="194"/>
      <c r="I30" s="431"/>
      <c r="J30" s="1643"/>
      <c r="K30" s="1643"/>
      <c r="L30" s="1643"/>
      <c r="M30" s="1643"/>
      <c r="N30" s="1631"/>
      <c r="O30" s="1643"/>
      <c r="P30" s="1167"/>
      <c r="Q30" s="1167"/>
      <c r="R30" s="427"/>
      <c r="S30" s="1167"/>
      <c r="T30" s="1167"/>
      <c r="U30" s="1167"/>
      <c r="V30" s="429"/>
      <c r="W30" s="429"/>
      <c r="X30" s="426"/>
      <c r="Y30" s="426"/>
      <c r="Z30" s="426"/>
      <c r="AA30" s="426"/>
      <c r="AB30" s="426"/>
      <c r="AC30" s="426"/>
    </row>
    <row customHeight="1" ht="15">
      <c r="A31" s="2224" t="s">
        <v>93</v>
      </c>
      <c r="B31" s="1167"/>
      <c r="C31" s="808" t="s">
        <v>102</v>
      </c>
      <c r="D31" s="1825"/>
      <c r="E31" s="1812" t="str">
        <f>A31</f>
        <v>7</v>
      </c>
      <c r="F31" s="811" t="s">
        <v>128</v>
      </c>
      <c r="G31" s="547" t="str">
        <f>"Территория "&amp;E31</f>
        <v>Территория 7</v>
      </c>
      <c r="H31" s="799"/>
      <c r="I31" s="799"/>
      <c r="J31" s="796"/>
      <c r="K31" s="1631"/>
      <c r="L31" s="1631"/>
      <c r="M31" s="1631"/>
      <c r="N31" s="233"/>
      <c r="O31" s="1631"/>
      <c r="P31" s="232"/>
      <c r="Q31" s="232"/>
      <c r="R31" s="232"/>
      <c r="S31" s="232"/>
      <c r="T31" s="1826"/>
      <c r="U31" s="1826"/>
      <c r="V31" s="1826"/>
      <c r="W31" s="1826"/>
      <c r="X31" s="1826"/>
      <c r="Y31" s="1826"/>
      <c r="Z31" s="1826"/>
      <c r="AA31" s="1826"/>
      <c r="AB31" s="1826"/>
      <c r="AC31" s="1826"/>
    </row>
    <row customHeight="1" ht="15">
      <c r="A32" s="2224"/>
      <c r="B32" s="1167">
        <v>1</v>
      </c>
      <c r="C32" s="1167"/>
      <c r="D32" s="807"/>
      <c r="E32" s="1820" t="str">
        <f>A31&amp;"."&amp;B32</f>
        <v>7.1</v>
      </c>
      <c r="F32" s="810" t="s">
        <v>129</v>
      </c>
      <c r="G32" s="800" t="s">
        <v>130</v>
      </c>
      <c r="H32" s="800" t="s">
        <v>130</v>
      </c>
      <c r="I32" s="798" t="s">
        <v>131</v>
      </c>
      <c r="J32" s="1631"/>
      <c r="K32" s="1643"/>
      <c r="L32" s="1643"/>
      <c r="M32" s="1631" t="str">
        <f t="array" ref="M32:M32">IF(ISERROR(MATCH(MID(N32,1,250),MID(note_ter,1,250),0)),"n","y")</f>
        <v>n</v>
      </c>
      <c r="N32" s="1643"/>
      <c r="O32" s="1631" t="str">
        <f>H32&amp;"("&amp;I32&amp;")"</f>
        <v>Грайворонский городской округ(14725000)</v>
      </c>
      <c r="P32" s="1167"/>
      <c r="Q32" s="1167"/>
      <c r="R32" s="427"/>
      <c r="S32" s="1167"/>
      <c r="T32" s="1167"/>
      <c r="U32" s="1167"/>
      <c r="V32" s="429"/>
      <c r="W32" s="429"/>
      <c r="X32" s="426"/>
      <c r="Y32" s="426"/>
      <c r="Z32" s="426"/>
      <c r="AA32" s="426"/>
      <c r="AB32" s="426"/>
      <c r="AC32" s="426"/>
    </row>
    <row customHeight="1" ht="15">
      <c r="A33" s="2224"/>
      <c r="B33" s="1167"/>
      <c r="C33" s="419"/>
      <c r="D33" s="808"/>
      <c r="E33" s="428"/>
      <c r="F33" s="184"/>
      <c r="G33" s="422" t="s">
        <v>106</v>
      </c>
      <c r="H33" s="194"/>
      <c r="I33" s="431"/>
      <c r="J33" s="1643"/>
      <c r="K33" s="1643"/>
      <c r="L33" s="1643"/>
      <c r="M33" s="1643"/>
      <c r="N33" s="1631"/>
      <c r="O33" s="1643"/>
      <c r="P33" s="1167"/>
      <c r="Q33" s="1167"/>
      <c r="R33" s="427"/>
      <c r="S33" s="1167"/>
      <c r="T33" s="1167"/>
      <c r="U33" s="1167"/>
      <c r="V33" s="429"/>
      <c r="W33" s="429"/>
      <c r="X33" s="426"/>
      <c r="Y33" s="426"/>
      <c r="Z33" s="426"/>
      <c r="AA33" s="426"/>
      <c r="AB33" s="426"/>
      <c r="AC33" s="426"/>
    </row>
    <row customHeight="1" ht="15">
      <c r="A34" s="2224" t="s">
        <v>132</v>
      </c>
      <c r="B34" s="1167"/>
      <c r="C34" s="808" t="s">
        <v>102</v>
      </c>
      <c r="D34" s="1825"/>
      <c r="E34" s="1812" t="str">
        <f>A34</f>
        <v>8</v>
      </c>
      <c r="F34" s="811" t="s">
        <v>133</v>
      </c>
      <c r="G34" s="547" t="str">
        <f>"Территория "&amp;E34</f>
        <v>Территория 8</v>
      </c>
      <c r="H34" s="799"/>
      <c r="I34" s="799"/>
      <c r="J34" s="796"/>
      <c r="K34" s="1631"/>
      <c r="L34" s="1631"/>
      <c r="M34" s="1631"/>
      <c r="N34" s="233"/>
      <c r="O34" s="1631"/>
      <c r="P34" s="232"/>
      <c r="Q34" s="232"/>
      <c r="R34" s="232"/>
      <c r="S34" s="232"/>
      <c r="T34" s="1826"/>
      <c r="U34" s="1826"/>
      <c r="V34" s="1826"/>
      <c r="W34" s="1826"/>
      <c r="X34" s="1826"/>
      <c r="Y34" s="1826"/>
      <c r="Z34" s="1826"/>
      <c r="AA34" s="1826"/>
      <c r="AB34" s="1826"/>
      <c r="AC34" s="1826"/>
    </row>
    <row customHeight="1" ht="15">
      <c r="A35" s="2224"/>
      <c r="B35" s="1167">
        <v>1</v>
      </c>
      <c r="C35" s="1167"/>
      <c r="D35" s="807"/>
      <c r="E35" s="1820" t="str">
        <f>A34&amp;"."&amp;B35</f>
        <v>8.1</v>
      </c>
      <c r="F35" s="810" t="s">
        <v>134</v>
      </c>
      <c r="G35" s="800" t="s">
        <v>135</v>
      </c>
      <c r="H35" s="800" t="s">
        <v>135</v>
      </c>
      <c r="I35" s="798" t="s">
        <v>136</v>
      </c>
      <c r="J35" s="1631"/>
      <c r="K35" s="1643"/>
      <c r="L35" s="1643"/>
      <c r="M35" s="1631" t="str">
        <f t="array" ref="M35:M35">IF(ISERROR(MATCH(MID(N35,1,250),MID(note_ter,1,250),0)),"n","y")</f>
        <v>n</v>
      </c>
      <c r="N35" s="1643"/>
      <c r="O35" s="1631" t="str">
        <f>H35&amp;"("&amp;I35&amp;")"</f>
        <v>Ивнянский район(14638000)</v>
      </c>
      <c r="P35" s="1167"/>
      <c r="Q35" s="1167"/>
      <c r="R35" s="427"/>
      <c r="S35" s="1167"/>
      <c r="T35" s="1167"/>
      <c r="U35" s="1167"/>
      <c r="V35" s="429"/>
      <c r="W35" s="429"/>
      <c r="X35" s="426"/>
      <c r="Y35" s="426"/>
      <c r="Z35" s="426"/>
      <c r="AA35" s="426"/>
      <c r="AB35" s="426"/>
      <c r="AC35" s="426"/>
    </row>
    <row customHeight="1" ht="15">
      <c r="A36" s="2224"/>
      <c r="B36" s="1167"/>
      <c r="C36" s="419"/>
      <c r="D36" s="808"/>
      <c r="E36" s="428"/>
      <c r="F36" s="184"/>
      <c r="G36" s="422" t="s">
        <v>106</v>
      </c>
      <c r="H36" s="194"/>
      <c r="I36" s="431"/>
      <c r="J36" s="1643"/>
      <c r="K36" s="1643"/>
      <c r="L36" s="1643"/>
      <c r="M36" s="1643"/>
      <c r="N36" s="1631"/>
      <c r="O36" s="1643"/>
      <c r="P36" s="1167"/>
      <c r="Q36" s="1167"/>
      <c r="R36" s="427"/>
      <c r="S36" s="1167"/>
      <c r="T36" s="1167"/>
      <c r="U36" s="1167"/>
      <c r="V36" s="429"/>
      <c r="W36" s="429"/>
      <c r="X36" s="426"/>
      <c r="Y36" s="426"/>
      <c r="Z36" s="426"/>
      <c r="AA36" s="426"/>
      <c r="AB36" s="426"/>
      <c r="AC36" s="426"/>
    </row>
    <row customHeight="1" ht="15">
      <c r="A37" s="2224" t="s">
        <v>137</v>
      </c>
      <c r="B37" s="1167"/>
      <c r="C37" s="808" t="s">
        <v>102</v>
      </c>
      <c r="D37" s="1825"/>
      <c r="E37" s="1812" t="str">
        <f>A37</f>
        <v>9</v>
      </c>
      <c r="F37" s="811" t="s">
        <v>138</v>
      </c>
      <c r="G37" s="547" t="str">
        <f>"Территория "&amp;E37</f>
        <v>Территория 9</v>
      </c>
      <c r="H37" s="799"/>
      <c r="I37" s="799"/>
      <c r="J37" s="796"/>
      <c r="K37" s="1631"/>
      <c r="L37" s="1631"/>
      <c r="M37" s="1631"/>
      <c r="N37" s="233"/>
      <c r="O37" s="1631"/>
      <c r="P37" s="232"/>
      <c r="Q37" s="232"/>
      <c r="R37" s="232"/>
      <c r="S37" s="232"/>
      <c r="T37" s="1826"/>
      <c r="U37" s="1826"/>
      <c r="V37" s="1826"/>
      <c r="W37" s="1826"/>
      <c r="X37" s="1826"/>
      <c r="Y37" s="1826"/>
      <c r="Z37" s="1826"/>
      <c r="AA37" s="1826"/>
      <c r="AB37" s="1826"/>
      <c r="AC37" s="1826"/>
    </row>
    <row customHeight="1" ht="15">
      <c r="A38" s="2224"/>
      <c r="B38" s="1167">
        <v>1</v>
      </c>
      <c r="C38" s="1167"/>
      <c r="D38" s="807"/>
      <c r="E38" s="1820" t="str">
        <f>A37&amp;"."&amp;B38</f>
        <v>9.1</v>
      </c>
      <c r="F38" s="810" t="s">
        <v>139</v>
      </c>
      <c r="G38" s="800" t="s">
        <v>140</v>
      </c>
      <c r="H38" s="800" t="s">
        <v>140</v>
      </c>
      <c r="I38" s="798" t="s">
        <v>141</v>
      </c>
      <c r="J38" s="1631"/>
      <c r="K38" s="1643"/>
      <c r="L38" s="1643"/>
      <c r="M38" s="1631" t="str">
        <f t="array" ref="M38:M38">IF(ISERROR(MATCH(MID(N38,1,250),MID(note_ter,1,250),0)),"n","y")</f>
        <v>n</v>
      </c>
      <c r="N38" s="1643"/>
      <c r="O38" s="1631" t="str">
        <f>H38&amp;"("&amp;I38&amp;")"</f>
        <v>Корочанский район(14640000)</v>
      </c>
      <c r="P38" s="1167"/>
      <c r="Q38" s="1167"/>
      <c r="R38" s="427"/>
      <c r="S38" s="1167"/>
      <c r="T38" s="1167"/>
      <c r="U38" s="1167"/>
      <c r="V38" s="429"/>
      <c r="W38" s="429"/>
      <c r="X38" s="426"/>
      <c r="Y38" s="426"/>
      <c r="Z38" s="426"/>
      <c r="AA38" s="426"/>
      <c r="AB38" s="426"/>
      <c r="AC38" s="426"/>
    </row>
    <row customHeight="1" ht="15">
      <c r="A39" s="2224"/>
      <c r="B39" s="1167"/>
      <c r="C39" s="419"/>
      <c r="D39" s="808"/>
      <c r="E39" s="428"/>
      <c r="F39" s="184"/>
      <c r="G39" s="422" t="s">
        <v>106</v>
      </c>
      <c r="H39" s="194"/>
      <c r="I39" s="431"/>
      <c r="J39" s="1643"/>
      <c r="K39" s="1643"/>
      <c r="L39" s="1643"/>
      <c r="M39" s="1643"/>
      <c r="N39" s="1631"/>
      <c r="O39" s="1643"/>
      <c r="P39" s="1167"/>
      <c r="Q39" s="1167"/>
      <c r="R39" s="427"/>
      <c r="S39" s="1167"/>
      <c r="T39" s="1167"/>
      <c r="U39" s="1167"/>
      <c r="V39" s="429"/>
      <c r="W39" s="429"/>
      <c r="X39" s="426"/>
      <c r="Y39" s="426"/>
      <c r="Z39" s="426"/>
      <c r="AA39" s="426"/>
      <c r="AB39" s="426"/>
      <c r="AC39" s="426"/>
    </row>
    <row customHeight="1" ht="15">
      <c r="A40" s="2224" t="s">
        <v>142</v>
      </c>
      <c r="B40" s="1167"/>
      <c r="C40" s="808" t="s">
        <v>102</v>
      </c>
      <c r="D40" s="1825"/>
      <c r="E40" s="1812" t="str">
        <f>A40</f>
        <v>10</v>
      </c>
      <c r="F40" s="811" t="s">
        <v>143</v>
      </c>
      <c r="G40" s="547" t="str">
        <f>"Территория "&amp;E40</f>
        <v>Территория 10</v>
      </c>
      <c r="H40" s="799"/>
      <c r="I40" s="799"/>
      <c r="J40" s="796"/>
      <c r="K40" s="1631"/>
      <c r="L40" s="1631"/>
      <c r="M40" s="1631"/>
      <c r="N40" s="233"/>
      <c r="O40" s="1631"/>
      <c r="P40" s="232"/>
      <c r="Q40" s="232"/>
      <c r="R40" s="232"/>
      <c r="S40" s="232"/>
      <c r="T40" s="1826"/>
      <c r="U40" s="1826"/>
      <c r="V40" s="1826"/>
      <c r="W40" s="1826"/>
      <c r="X40" s="1826"/>
      <c r="Y40" s="1826"/>
      <c r="Z40" s="1826"/>
      <c r="AA40" s="1826"/>
      <c r="AB40" s="1826"/>
      <c r="AC40" s="1826"/>
    </row>
    <row customHeight="1" ht="15">
      <c r="A41" s="2224"/>
      <c r="B41" s="1167">
        <v>1</v>
      </c>
      <c r="C41" s="1167"/>
      <c r="D41" s="807"/>
      <c r="E41" s="1820" t="str">
        <f>A40&amp;"."&amp;B41</f>
        <v>10.1</v>
      </c>
      <c r="F41" s="810" t="s">
        <v>144</v>
      </c>
      <c r="G41" s="800" t="s">
        <v>145</v>
      </c>
      <c r="H41" s="800" t="s">
        <v>145</v>
      </c>
      <c r="I41" s="798" t="s">
        <v>146</v>
      </c>
      <c r="J41" s="1631"/>
      <c r="K41" s="1643"/>
      <c r="L41" s="1643"/>
      <c r="M41" s="1631" t="str">
        <f t="array" ref="M41:M41">IF(ISERROR(MATCH(MID(N41,1,250),MID(note_ter,1,250),0)),"n","y")</f>
        <v>n</v>
      </c>
      <c r="N41" s="1643"/>
      <c r="O41" s="1631" t="str">
        <f>H41&amp;"("&amp;I41&amp;")"</f>
        <v>Красненский район(14641000)</v>
      </c>
      <c r="P41" s="1167"/>
      <c r="Q41" s="1167"/>
      <c r="R41" s="427"/>
      <c r="S41" s="1167"/>
      <c r="T41" s="1167"/>
      <c r="U41" s="1167"/>
      <c r="V41" s="429"/>
      <c r="W41" s="429"/>
      <c r="X41" s="426"/>
      <c r="Y41" s="426"/>
      <c r="Z41" s="426"/>
      <c r="AA41" s="426"/>
      <c r="AB41" s="426"/>
      <c r="AC41" s="426"/>
    </row>
    <row customHeight="1" ht="15">
      <c r="A42" s="2224"/>
      <c r="B42" s="1167"/>
      <c r="C42" s="419"/>
      <c r="D42" s="808"/>
      <c r="E42" s="428"/>
      <c r="F42" s="184"/>
      <c r="G42" s="422" t="s">
        <v>106</v>
      </c>
      <c r="H42" s="194"/>
      <c r="I42" s="431"/>
      <c r="J42" s="1643"/>
      <c r="K42" s="1643"/>
      <c r="L42" s="1643"/>
      <c r="M42" s="1643"/>
      <c r="N42" s="1631"/>
      <c r="O42" s="1643"/>
      <c r="P42" s="1167"/>
      <c r="Q42" s="1167"/>
      <c r="R42" s="427"/>
      <c r="S42" s="1167"/>
      <c r="T42" s="1167"/>
      <c r="U42" s="1167"/>
      <c r="V42" s="429"/>
      <c r="W42" s="429"/>
      <c r="X42" s="426"/>
      <c r="Y42" s="426"/>
      <c r="Z42" s="426"/>
      <c r="AA42" s="426"/>
      <c r="AB42" s="426"/>
      <c r="AC42" s="426"/>
    </row>
    <row customHeight="1" ht="15">
      <c r="A43" s="2224" t="s">
        <v>147</v>
      </c>
      <c r="B43" s="1167"/>
      <c r="C43" s="808" t="s">
        <v>102</v>
      </c>
      <c r="D43" s="1825"/>
      <c r="E43" s="1812" t="str">
        <f>A43</f>
        <v>11</v>
      </c>
      <c r="F43" s="811" t="s">
        <v>148</v>
      </c>
      <c r="G43" s="547" t="str">
        <f>"Территория "&amp;E43</f>
        <v>Территория 11</v>
      </c>
      <c r="H43" s="799"/>
      <c r="I43" s="799"/>
      <c r="J43" s="796"/>
      <c r="K43" s="1631"/>
      <c r="L43" s="1631"/>
      <c r="M43" s="1631"/>
      <c r="N43" s="233"/>
      <c r="O43" s="1631"/>
      <c r="P43" s="232"/>
      <c r="Q43" s="232"/>
      <c r="R43" s="232"/>
      <c r="S43" s="232"/>
      <c r="T43" s="1826"/>
      <c r="U43" s="1826"/>
      <c r="V43" s="1826"/>
      <c r="W43" s="1826"/>
      <c r="X43" s="1826"/>
      <c r="Y43" s="1826"/>
      <c r="Z43" s="1826"/>
      <c r="AA43" s="1826"/>
      <c r="AB43" s="1826"/>
      <c r="AC43" s="1826"/>
    </row>
    <row customHeight="1" ht="15">
      <c r="A44" s="2224"/>
      <c r="B44" s="1167">
        <v>1</v>
      </c>
      <c r="C44" s="1167"/>
      <c r="D44" s="807"/>
      <c r="E44" s="1820" t="str">
        <f>A43&amp;"."&amp;B44</f>
        <v>11.1</v>
      </c>
      <c r="F44" s="810" t="s">
        <v>149</v>
      </c>
      <c r="G44" s="800" t="s">
        <v>150</v>
      </c>
      <c r="H44" s="800" t="s">
        <v>150</v>
      </c>
      <c r="I44" s="798" t="s">
        <v>151</v>
      </c>
      <c r="J44" s="1631"/>
      <c r="K44" s="1643"/>
      <c r="L44" s="1643"/>
      <c r="M44" s="1631" t="str">
        <f t="array" ref="M44:M44">IF(ISERROR(MATCH(MID(N44,1,250),MID(note_ter,1,250),0)),"n","y")</f>
        <v>n</v>
      </c>
      <c r="N44" s="1643"/>
      <c r="O44" s="1631" t="str">
        <f>H44&amp;"("&amp;I44&amp;")"</f>
        <v>Красногвардейский район(14642000)</v>
      </c>
      <c r="P44" s="1167"/>
      <c r="Q44" s="1167"/>
      <c r="R44" s="427"/>
      <c r="S44" s="1167"/>
      <c r="T44" s="1167"/>
      <c r="U44" s="1167"/>
      <c r="V44" s="429"/>
      <c r="W44" s="429"/>
      <c r="X44" s="426"/>
      <c r="Y44" s="426"/>
      <c r="Z44" s="426"/>
      <c r="AA44" s="426"/>
      <c r="AB44" s="426"/>
      <c r="AC44" s="426"/>
    </row>
    <row customHeight="1" ht="15">
      <c r="A45" s="2224"/>
      <c r="B45" s="1167"/>
      <c r="C45" s="419"/>
      <c r="D45" s="808"/>
      <c r="E45" s="428"/>
      <c r="F45" s="184"/>
      <c r="G45" s="422" t="s">
        <v>106</v>
      </c>
      <c r="H45" s="194"/>
      <c r="I45" s="431"/>
      <c r="J45" s="1643"/>
      <c r="K45" s="1643"/>
      <c r="L45" s="1643"/>
      <c r="M45" s="1643"/>
      <c r="N45" s="1631"/>
      <c r="O45" s="1643"/>
      <c r="P45" s="1167"/>
      <c r="Q45" s="1167"/>
      <c r="R45" s="427"/>
      <c r="S45" s="1167"/>
      <c r="T45" s="1167"/>
      <c r="U45" s="1167"/>
      <c r="V45" s="429"/>
      <c r="W45" s="429"/>
      <c r="X45" s="426"/>
      <c r="Y45" s="426"/>
      <c r="Z45" s="426"/>
      <c r="AA45" s="426"/>
      <c r="AB45" s="426"/>
      <c r="AC45" s="426"/>
    </row>
    <row customHeight="1" ht="15">
      <c r="A46" s="2224" t="s">
        <v>152</v>
      </c>
      <c r="B46" s="1167"/>
      <c r="C46" s="808" t="s">
        <v>102</v>
      </c>
      <c r="D46" s="1825"/>
      <c r="E46" s="1812" t="str">
        <f>A46</f>
        <v>12</v>
      </c>
      <c r="F46" s="811" t="s">
        <v>153</v>
      </c>
      <c r="G46" s="547" t="str">
        <f>"Территория "&amp;E46</f>
        <v>Территория 12</v>
      </c>
      <c r="H46" s="799"/>
      <c r="I46" s="799"/>
      <c r="J46" s="796"/>
      <c r="K46" s="1631"/>
      <c r="L46" s="1631"/>
      <c r="M46" s="1631"/>
      <c r="N46" s="233"/>
      <c r="O46" s="1631"/>
      <c r="P46" s="232"/>
      <c r="Q46" s="232"/>
      <c r="R46" s="232"/>
      <c r="S46" s="232"/>
      <c r="T46" s="1826"/>
      <c r="U46" s="1826"/>
      <c r="V46" s="1826"/>
      <c r="W46" s="1826"/>
      <c r="X46" s="1826"/>
      <c r="Y46" s="1826"/>
      <c r="Z46" s="1826"/>
      <c r="AA46" s="1826"/>
      <c r="AB46" s="1826"/>
      <c r="AC46" s="1826"/>
    </row>
    <row customHeight="1" ht="15">
      <c r="A47" s="2224"/>
      <c r="B47" s="1167">
        <v>1</v>
      </c>
      <c r="C47" s="1167"/>
      <c r="D47" s="807"/>
      <c r="E47" s="1820" t="str">
        <f>A46&amp;"."&amp;B47</f>
        <v>12.1</v>
      </c>
      <c r="F47" s="810" t="s">
        <v>154</v>
      </c>
      <c r="G47" s="800" t="s">
        <v>155</v>
      </c>
      <c r="H47" s="800" t="s">
        <v>155</v>
      </c>
      <c r="I47" s="798" t="s">
        <v>156</v>
      </c>
      <c r="J47" s="1631"/>
      <c r="K47" s="1643"/>
      <c r="L47" s="1643"/>
      <c r="M47" s="1631" t="str">
        <f t="array" ref="M47:M47">IF(ISERROR(MATCH(MID(N47,1,250),MID(note_ter,1,250),0)),"n","y")</f>
        <v>n</v>
      </c>
      <c r="N47" s="1643"/>
      <c r="O47" s="1631" t="str">
        <f>H47&amp;"("&amp;I47&amp;")"</f>
        <v>Краснояружский район(14643000)</v>
      </c>
      <c r="P47" s="1167"/>
      <c r="Q47" s="1167"/>
      <c r="R47" s="427"/>
      <c r="S47" s="1167"/>
      <c r="T47" s="1167"/>
      <c r="U47" s="1167"/>
      <c r="V47" s="429"/>
      <c r="W47" s="429"/>
      <c r="X47" s="426"/>
      <c r="Y47" s="426"/>
      <c r="Z47" s="426"/>
      <c r="AA47" s="426"/>
      <c r="AB47" s="426"/>
      <c r="AC47" s="426"/>
    </row>
    <row customHeight="1" ht="15">
      <c r="A48" s="2224"/>
      <c r="B48" s="1167"/>
      <c r="C48" s="419"/>
      <c r="D48" s="808"/>
      <c r="E48" s="428"/>
      <c r="F48" s="184"/>
      <c r="G48" s="422" t="s">
        <v>106</v>
      </c>
      <c r="H48" s="194"/>
      <c r="I48" s="431"/>
      <c r="J48" s="1643"/>
      <c r="K48" s="1643"/>
      <c r="L48" s="1643"/>
      <c r="M48" s="1643"/>
      <c r="N48" s="1631"/>
      <c r="O48" s="1643"/>
      <c r="P48" s="1167"/>
      <c r="Q48" s="1167"/>
      <c r="R48" s="427"/>
      <c r="S48" s="1167"/>
      <c r="T48" s="1167"/>
      <c r="U48" s="1167"/>
      <c r="V48" s="429"/>
      <c r="W48" s="429"/>
      <c r="X48" s="426"/>
      <c r="Y48" s="426"/>
      <c r="Z48" s="426"/>
      <c r="AA48" s="426"/>
      <c r="AB48" s="426"/>
      <c r="AC48" s="426"/>
    </row>
    <row customHeight="1" ht="15">
      <c r="A49" s="2224" t="s">
        <v>157</v>
      </c>
      <c r="B49" s="1167"/>
      <c r="C49" s="808" t="s">
        <v>102</v>
      </c>
      <c r="D49" s="1825"/>
      <c r="E49" s="1812" t="str">
        <f>A49</f>
        <v>13</v>
      </c>
      <c r="F49" s="811" t="s">
        <v>158</v>
      </c>
      <c r="G49" s="547" t="str">
        <f>"Территория "&amp;E49</f>
        <v>Территория 13</v>
      </c>
      <c r="H49" s="799"/>
      <c r="I49" s="799"/>
      <c r="J49" s="796"/>
      <c r="K49" s="1631"/>
      <c r="L49" s="1631"/>
      <c r="M49" s="1631"/>
      <c r="N49" s="233"/>
      <c r="O49" s="1631"/>
      <c r="P49" s="232"/>
      <c r="Q49" s="232"/>
      <c r="R49" s="232"/>
      <c r="S49" s="232"/>
      <c r="T49" s="1826"/>
      <c r="U49" s="1826"/>
      <c r="V49" s="1826"/>
      <c r="W49" s="1826"/>
      <c r="X49" s="1826"/>
      <c r="Y49" s="1826"/>
      <c r="Z49" s="1826"/>
      <c r="AA49" s="1826"/>
      <c r="AB49" s="1826"/>
      <c r="AC49" s="1826"/>
    </row>
    <row customHeight="1" ht="15">
      <c r="A50" s="2224"/>
      <c r="B50" s="1167">
        <v>1</v>
      </c>
      <c r="C50" s="1167"/>
      <c r="D50" s="807"/>
      <c r="E50" s="1820" t="str">
        <f>A49&amp;"."&amp;B50</f>
        <v>13.1</v>
      </c>
      <c r="F50" s="810" t="s">
        <v>159</v>
      </c>
      <c r="G50" s="800" t="s">
        <v>160</v>
      </c>
      <c r="H50" s="800" t="s">
        <v>160</v>
      </c>
      <c r="I50" s="798" t="s">
        <v>161</v>
      </c>
      <c r="J50" s="1631"/>
      <c r="K50" s="1643"/>
      <c r="L50" s="1643"/>
      <c r="M50" s="1631" t="str">
        <f t="array" ref="M50:M50">IF(ISERROR(MATCH(MID(N50,1,250),MID(note_ter,1,250),0)),"n","y")</f>
        <v>n</v>
      </c>
      <c r="N50" s="1643"/>
      <c r="O50" s="1631" t="str">
        <f>H50&amp;"("&amp;I50&amp;")"</f>
        <v>Новооскольский городской округ(14735000)</v>
      </c>
      <c r="P50" s="1167"/>
      <c r="Q50" s="1167"/>
      <c r="R50" s="427"/>
      <c r="S50" s="1167"/>
      <c r="T50" s="1167"/>
      <c r="U50" s="1167"/>
      <c r="V50" s="429"/>
      <c r="W50" s="429"/>
      <c r="X50" s="426"/>
      <c r="Y50" s="426"/>
      <c r="Z50" s="426"/>
      <c r="AA50" s="426"/>
      <c r="AB50" s="426"/>
      <c r="AC50" s="426"/>
    </row>
    <row customHeight="1" ht="15">
      <c r="A51" s="2224"/>
      <c r="B51" s="1167"/>
      <c r="C51" s="419"/>
      <c r="D51" s="808"/>
      <c r="E51" s="428"/>
      <c r="F51" s="184"/>
      <c r="G51" s="422" t="s">
        <v>106</v>
      </c>
      <c r="H51" s="194"/>
      <c r="I51" s="431"/>
      <c r="J51" s="1643"/>
      <c r="K51" s="1643"/>
      <c r="L51" s="1643"/>
      <c r="M51" s="1643"/>
      <c r="N51" s="1631"/>
      <c r="O51" s="1643"/>
      <c r="P51" s="1167"/>
      <c r="Q51" s="1167"/>
      <c r="R51" s="427"/>
      <c r="S51" s="1167"/>
      <c r="T51" s="1167"/>
      <c r="U51" s="1167"/>
      <c r="V51" s="429"/>
      <c r="W51" s="429"/>
      <c r="X51" s="426"/>
      <c r="Y51" s="426"/>
      <c r="Z51" s="426"/>
      <c r="AA51" s="426"/>
      <c r="AB51" s="426"/>
      <c r="AC51" s="426"/>
    </row>
    <row customHeight="1" ht="15">
      <c r="A52" s="2224" t="s">
        <v>162</v>
      </c>
      <c r="B52" s="1167"/>
      <c r="C52" s="808" t="s">
        <v>102</v>
      </c>
      <c r="D52" s="1825"/>
      <c r="E52" s="1812" t="str">
        <f>A52</f>
        <v>14</v>
      </c>
      <c r="F52" s="811" t="s">
        <v>163</v>
      </c>
      <c r="G52" s="547" t="str">
        <f>"Территория "&amp;E52</f>
        <v>Территория 14</v>
      </c>
      <c r="H52" s="799"/>
      <c r="I52" s="799"/>
      <c r="J52" s="796"/>
      <c r="K52" s="1631"/>
      <c r="L52" s="1631"/>
      <c r="M52" s="1631"/>
      <c r="N52" s="233"/>
      <c r="O52" s="1631"/>
      <c r="P52" s="232"/>
      <c r="Q52" s="232"/>
      <c r="R52" s="232"/>
      <c r="S52" s="232"/>
      <c r="T52" s="1826"/>
      <c r="U52" s="1826"/>
      <c r="V52" s="1826"/>
      <c r="W52" s="1826"/>
      <c r="X52" s="1826"/>
      <c r="Y52" s="1826"/>
      <c r="Z52" s="1826"/>
      <c r="AA52" s="1826"/>
      <c r="AB52" s="1826"/>
      <c r="AC52" s="1826"/>
    </row>
    <row customHeight="1" ht="15">
      <c r="A53" s="2224"/>
      <c r="B53" s="1167">
        <v>1</v>
      </c>
      <c r="C53" s="1167"/>
      <c r="D53" s="807"/>
      <c r="E53" s="1820" t="str">
        <f>A52&amp;"."&amp;B53</f>
        <v>14.1</v>
      </c>
      <c r="F53" s="810" t="s">
        <v>164</v>
      </c>
      <c r="G53" s="800" t="s">
        <v>165</v>
      </c>
      <c r="H53" s="800" t="s">
        <v>165</v>
      </c>
      <c r="I53" s="798" t="s">
        <v>166</v>
      </c>
      <c r="J53" s="1631"/>
      <c r="K53" s="1643"/>
      <c r="L53" s="1643"/>
      <c r="M53" s="1631" t="str">
        <f t="array" ref="M53:M53">IF(ISERROR(MATCH(MID(N53,1,250),MID(note_ter,1,250),0)),"n","y")</f>
        <v>n</v>
      </c>
      <c r="N53" s="1643"/>
      <c r="O53" s="1631" t="str">
        <f>H53&amp;"("&amp;I53&amp;")"</f>
        <v>Прохоровский район(14646000)</v>
      </c>
      <c r="P53" s="1167"/>
      <c r="Q53" s="1167"/>
      <c r="R53" s="427"/>
      <c r="S53" s="1167"/>
      <c r="T53" s="1167"/>
      <c r="U53" s="1167"/>
      <c r="V53" s="429"/>
      <c r="W53" s="429"/>
      <c r="X53" s="426"/>
      <c r="Y53" s="426"/>
      <c r="Z53" s="426"/>
      <c r="AA53" s="426"/>
      <c r="AB53" s="426"/>
      <c r="AC53" s="426"/>
    </row>
    <row customHeight="1" ht="15">
      <c r="A54" s="2224"/>
      <c r="B54" s="1167"/>
      <c r="C54" s="419"/>
      <c r="D54" s="808"/>
      <c r="E54" s="428"/>
      <c r="F54" s="184"/>
      <c r="G54" s="422" t="s">
        <v>106</v>
      </c>
      <c r="H54" s="194"/>
      <c r="I54" s="431"/>
      <c r="J54" s="1643"/>
      <c r="K54" s="1643"/>
      <c r="L54" s="1643"/>
      <c r="M54" s="1643"/>
      <c r="N54" s="1631"/>
      <c r="O54" s="1643"/>
      <c r="P54" s="1167"/>
      <c r="Q54" s="1167"/>
      <c r="R54" s="427"/>
      <c r="S54" s="1167"/>
      <c r="T54" s="1167"/>
      <c r="U54" s="1167"/>
      <c r="V54" s="429"/>
      <c r="W54" s="429"/>
      <c r="X54" s="426"/>
      <c r="Y54" s="426"/>
      <c r="Z54" s="426"/>
      <c r="AA54" s="426"/>
      <c r="AB54" s="426"/>
      <c r="AC54" s="426"/>
    </row>
    <row customHeight="1" ht="15">
      <c r="A55" s="2224" t="s">
        <v>167</v>
      </c>
      <c r="B55" s="1167"/>
      <c r="C55" s="808" t="s">
        <v>102</v>
      </c>
      <c r="D55" s="1825"/>
      <c r="E55" s="1812" t="str">
        <f>A55</f>
        <v>15</v>
      </c>
      <c r="F55" s="811" t="s">
        <v>168</v>
      </c>
      <c r="G55" s="547" t="str">
        <f>"Территория "&amp;E55</f>
        <v>Территория 15</v>
      </c>
      <c r="H55" s="799"/>
      <c r="I55" s="799"/>
      <c r="J55" s="796"/>
      <c r="K55" s="1631"/>
      <c r="L55" s="1631"/>
      <c r="M55" s="1631"/>
      <c r="N55" s="233"/>
      <c r="O55" s="1631"/>
      <c r="P55" s="232"/>
      <c r="Q55" s="232"/>
      <c r="R55" s="232"/>
      <c r="S55" s="232"/>
      <c r="T55" s="1826"/>
      <c r="U55" s="1826"/>
      <c r="V55" s="1826"/>
      <c r="W55" s="1826"/>
      <c r="X55" s="1826"/>
      <c r="Y55" s="1826"/>
      <c r="Z55" s="1826"/>
      <c r="AA55" s="1826"/>
      <c r="AB55" s="1826"/>
      <c r="AC55" s="1826"/>
    </row>
    <row customHeight="1" ht="15">
      <c r="A56" s="2224"/>
      <c r="B56" s="1167">
        <v>1</v>
      </c>
      <c r="C56" s="1167"/>
      <c r="D56" s="807"/>
      <c r="E56" s="1820" t="str">
        <f>A55&amp;"."&amp;B56</f>
        <v>15.1</v>
      </c>
      <c r="F56" s="810" t="s">
        <v>169</v>
      </c>
      <c r="G56" s="800" t="s">
        <v>170</v>
      </c>
      <c r="H56" s="800" t="s">
        <v>170</v>
      </c>
      <c r="I56" s="798" t="s">
        <v>171</v>
      </c>
      <c r="J56" s="1631"/>
      <c r="K56" s="1643"/>
      <c r="L56" s="1643"/>
      <c r="M56" s="1631" t="str">
        <f t="array" ref="M56:M56">IF(ISERROR(MATCH(MID(N56,1,250),MID(note_ter,1,250),0)),"n","y")</f>
        <v>n</v>
      </c>
      <c r="N56" s="1643"/>
      <c r="O56" s="1631" t="str">
        <f>H56&amp;"("&amp;I56&amp;")"</f>
        <v>Ракитянский муниципальный район(14648000)</v>
      </c>
      <c r="P56" s="1167"/>
      <c r="Q56" s="1167"/>
      <c r="R56" s="427"/>
      <c r="S56" s="1167"/>
      <c r="T56" s="1167"/>
      <c r="U56" s="1167"/>
      <c r="V56" s="429"/>
      <c r="W56" s="429"/>
      <c r="X56" s="426"/>
      <c r="Y56" s="426"/>
      <c r="Z56" s="426"/>
      <c r="AA56" s="426"/>
      <c r="AB56" s="426"/>
      <c r="AC56" s="426"/>
    </row>
    <row customHeight="1" ht="15">
      <c r="A57" s="2224"/>
      <c r="B57" s="1167"/>
      <c r="C57" s="419"/>
      <c r="D57" s="808"/>
      <c r="E57" s="428"/>
      <c r="F57" s="184"/>
      <c r="G57" s="422" t="s">
        <v>106</v>
      </c>
      <c r="H57" s="194"/>
      <c r="I57" s="431"/>
      <c r="J57" s="1643"/>
      <c r="K57" s="1643"/>
      <c r="L57" s="1643"/>
      <c r="M57" s="1643"/>
      <c r="N57" s="1631"/>
      <c r="O57" s="1643"/>
      <c r="P57" s="1167"/>
      <c r="Q57" s="1167"/>
      <c r="R57" s="427"/>
      <c r="S57" s="1167"/>
      <c r="T57" s="1167"/>
      <c r="U57" s="1167"/>
      <c r="V57" s="429"/>
      <c r="W57" s="429"/>
      <c r="X57" s="426"/>
      <c r="Y57" s="426"/>
      <c r="Z57" s="426"/>
      <c r="AA57" s="426"/>
      <c r="AB57" s="426"/>
      <c r="AC57" s="426"/>
    </row>
    <row customHeight="1" ht="15">
      <c r="A58" s="2224" t="s">
        <v>172</v>
      </c>
      <c r="B58" s="1167"/>
      <c r="C58" s="808" t="s">
        <v>102</v>
      </c>
      <c r="D58" s="1825"/>
      <c r="E58" s="1812" t="str">
        <f>A58</f>
        <v>16</v>
      </c>
      <c r="F58" s="811" t="s">
        <v>173</v>
      </c>
      <c r="G58" s="547" t="str">
        <f>"Территория "&amp;E58</f>
        <v>Территория 16</v>
      </c>
      <c r="H58" s="799"/>
      <c r="I58" s="799"/>
      <c r="J58" s="796"/>
      <c r="K58" s="1631"/>
      <c r="L58" s="1631"/>
      <c r="M58" s="1631"/>
      <c r="N58" s="233"/>
      <c r="O58" s="1631"/>
      <c r="P58" s="232"/>
      <c r="Q58" s="232"/>
      <c r="R58" s="232"/>
      <c r="S58" s="232"/>
      <c r="T58" s="1826"/>
      <c r="U58" s="1826"/>
      <c r="V58" s="1826"/>
      <c r="W58" s="1826"/>
      <c r="X58" s="1826"/>
      <c r="Y58" s="1826"/>
      <c r="Z58" s="1826"/>
      <c r="AA58" s="1826"/>
      <c r="AB58" s="1826"/>
      <c r="AC58" s="1826"/>
    </row>
    <row customHeight="1" ht="15">
      <c r="A59" s="2224"/>
      <c r="B59" s="1167">
        <v>1</v>
      </c>
      <c r="C59" s="1167"/>
      <c r="D59" s="807"/>
      <c r="E59" s="1820" t="str">
        <f>A58&amp;"."&amp;B59</f>
        <v>16.1</v>
      </c>
      <c r="F59" s="810" t="s">
        <v>174</v>
      </c>
      <c r="G59" s="800" t="s">
        <v>175</v>
      </c>
      <c r="H59" s="800" t="s">
        <v>175</v>
      </c>
      <c r="I59" s="798" t="s">
        <v>176</v>
      </c>
      <c r="J59" s="1631"/>
      <c r="K59" s="1643"/>
      <c r="L59" s="1643"/>
      <c r="M59" s="1631" t="str">
        <f t="array" ref="M59:M59">IF(ISERROR(MATCH(MID(N59,1,250),MID(note_ter,1,250),0)),"n","y")</f>
        <v>n</v>
      </c>
      <c r="N59" s="1643"/>
      <c r="O59" s="1631" t="str">
        <f>H59&amp;"("&amp;I59&amp;")"</f>
        <v>Ровеньский район(14650000)</v>
      </c>
      <c r="P59" s="1167"/>
      <c r="Q59" s="1167"/>
      <c r="R59" s="427"/>
      <c r="S59" s="1167"/>
      <c r="T59" s="1167"/>
      <c r="U59" s="1167"/>
      <c r="V59" s="429"/>
      <c r="W59" s="429"/>
      <c r="X59" s="426"/>
      <c r="Y59" s="426"/>
      <c r="Z59" s="426"/>
      <c r="AA59" s="426"/>
      <c r="AB59" s="426"/>
      <c r="AC59" s="426"/>
    </row>
    <row customHeight="1" ht="15">
      <c r="A60" s="2224"/>
      <c r="B60" s="1167"/>
      <c r="C60" s="419"/>
      <c r="D60" s="808"/>
      <c r="E60" s="428"/>
      <c r="F60" s="184"/>
      <c r="G60" s="422" t="s">
        <v>106</v>
      </c>
      <c r="H60" s="194"/>
      <c r="I60" s="431"/>
      <c r="J60" s="1643"/>
      <c r="K60" s="1643"/>
      <c r="L60" s="1643"/>
      <c r="M60" s="1643"/>
      <c r="N60" s="1631"/>
      <c r="O60" s="1643"/>
      <c r="P60" s="1167"/>
      <c r="Q60" s="1167"/>
      <c r="R60" s="427"/>
      <c r="S60" s="1167"/>
      <c r="T60" s="1167"/>
      <c r="U60" s="1167"/>
      <c r="V60" s="429"/>
      <c r="W60" s="429"/>
      <c r="X60" s="426"/>
      <c r="Y60" s="426"/>
      <c r="Z60" s="426"/>
      <c r="AA60" s="426"/>
      <c r="AB60" s="426"/>
      <c r="AC60" s="426"/>
    </row>
    <row customHeight="1" ht="15">
      <c r="A61" s="2224" t="s">
        <v>177</v>
      </c>
      <c r="B61" s="1167"/>
      <c r="C61" s="808" t="s">
        <v>102</v>
      </c>
      <c r="D61" s="1825"/>
      <c r="E61" s="1812" t="str">
        <f>A61</f>
        <v>17</v>
      </c>
      <c r="F61" s="811" t="s">
        <v>178</v>
      </c>
      <c r="G61" s="547" t="str">
        <f>"Территория "&amp;E61</f>
        <v>Территория 17</v>
      </c>
      <c r="H61" s="799"/>
      <c r="I61" s="799"/>
      <c r="J61" s="796"/>
      <c r="K61" s="1631"/>
      <c r="L61" s="1631"/>
      <c r="M61" s="1631"/>
      <c r="N61" s="233"/>
      <c r="O61" s="1631"/>
      <c r="P61" s="232"/>
      <c r="Q61" s="232"/>
      <c r="R61" s="232"/>
      <c r="S61" s="232"/>
      <c r="T61" s="1826"/>
      <c r="U61" s="1826"/>
      <c r="V61" s="1826"/>
      <c r="W61" s="1826"/>
      <c r="X61" s="1826"/>
      <c r="Y61" s="1826"/>
      <c r="Z61" s="1826"/>
      <c r="AA61" s="1826"/>
      <c r="AB61" s="1826"/>
      <c r="AC61" s="1826"/>
    </row>
    <row customHeight="1" ht="15">
      <c r="A62" s="2224"/>
      <c r="B62" s="1167">
        <v>1</v>
      </c>
      <c r="C62" s="1167"/>
      <c r="D62" s="807"/>
      <c r="E62" s="1820" t="str">
        <f>A61&amp;"."&amp;B62</f>
        <v>17.1</v>
      </c>
      <c r="F62" s="810" t="s">
        <v>179</v>
      </c>
      <c r="G62" s="800" t="s">
        <v>180</v>
      </c>
      <c r="H62" s="800" t="s">
        <v>180</v>
      </c>
      <c r="I62" s="798" t="s">
        <v>181</v>
      </c>
      <c r="J62" s="1631"/>
      <c r="K62" s="1643"/>
      <c r="L62" s="1643"/>
      <c r="M62" s="1631" t="str">
        <f t="array" ref="M62:M62">IF(ISERROR(MATCH(MID(N62,1,250),MID(note_ter,1,250),0)),"n","y")</f>
        <v>n</v>
      </c>
      <c r="N62" s="1643"/>
      <c r="O62" s="1631" t="str">
        <f>H62&amp;"("&amp;I62&amp;")"</f>
        <v>Шебекинский городской округ(14750000)</v>
      </c>
      <c r="P62" s="1167"/>
      <c r="Q62" s="1167"/>
      <c r="R62" s="427"/>
      <c r="S62" s="1167"/>
      <c r="T62" s="1167"/>
      <c r="U62" s="1167"/>
      <c r="V62" s="429"/>
      <c r="W62" s="429"/>
      <c r="X62" s="426"/>
      <c r="Y62" s="426"/>
      <c r="Z62" s="426"/>
      <c r="AA62" s="426"/>
      <c r="AB62" s="426"/>
      <c r="AC62" s="426"/>
    </row>
    <row customHeight="1" ht="15">
      <c r="A63" s="2224"/>
      <c r="B63" s="1167"/>
      <c r="C63" s="419"/>
      <c r="D63" s="808"/>
      <c r="E63" s="428"/>
      <c r="F63" s="184"/>
      <c r="G63" s="422" t="s">
        <v>106</v>
      </c>
      <c r="H63" s="194"/>
      <c r="I63" s="431"/>
      <c r="J63" s="1643"/>
      <c r="K63" s="1643"/>
      <c r="L63" s="1643"/>
      <c r="M63" s="1643"/>
      <c r="N63" s="1631"/>
      <c r="O63" s="1643"/>
      <c r="P63" s="1167"/>
      <c r="Q63" s="1167"/>
      <c r="R63" s="427"/>
      <c r="S63" s="1167"/>
      <c r="T63" s="1167"/>
      <c r="U63" s="1167"/>
      <c r="V63" s="429"/>
      <c r="W63" s="429"/>
      <c r="X63" s="426"/>
      <c r="Y63" s="426"/>
      <c r="Z63" s="426"/>
      <c r="AA63" s="426"/>
      <c r="AB63" s="426"/>
      <c r="AC63" s="426"/>
    </row>
    <row customHeight="1" ht="15">
      <c r="A64" s="2224" t="s">
        <v>182</v>
      </c>
      <c r="B64" s="1167"/>
      <c r="C64" s="808" t="s">
        <v>102</v>
      </c>
      <c r="D64" s="1825"/>
      <c r="E64" s="1812" t="str">
        <f>A64</f>
        <v>18</v>
      </c>
      <c r="F64" s="811" t="s">
        <v>183</v>
      </c>
      <c r="G64" s="547" t="str">
        <f>"Территория "&amp;E64</f>
        <v>Территория 18</v>
      </c>
      <c r="H64" s="799"/>
      <c r="I64" s="799"/>
      <c r="J64" s="796"/>
      <c r="K64" s="1631"/>
      <c r="L64" s="1631"/>
      <c r="M64" s="1631"/>
      <c r="N64" s="233"/>
      <c r="O64" s="1631"/>
      <c r="P64" s="232"/>
      <c r="Q64" s="232"/>
      <c r="R64" s="232"/>
      <c r="S64" s="232"/>
      <c r="T64" s="1826"/>
      <c r="U64" s="1826"/>
      <c r="V64" s="1826"/>
      <c r="W64" s="1826"/>
      <c r="X64" s="1826"/>
      <c r="Y64" s="1826"/>
      <c r="Z64" s="1826"/>
      <c r="AA64" s="1826"/>
      <c r="AB64" s="1826"/>
      <c r="AC64" s="1826"/>
    </row>
    <row customHeight="1" ht="15">
      <c r="A65" s="2224"/>
      <c r="B65" s="1167">
        <v>1</v>
      </c>
      <c r="C65" s="1167"/>
      <c r="D65" s="807"/>
      <c r="E65" s="1820" t="str">
        <f>A64&amp;"."&amp;B65</f>
        <v>18.1</v>
      </c>
      <c r="F65" s="810" t="s">
        <v>179</v>
      </c>
      <c r="G65" s="800" t="s">
        <v>180</v>
      </c>
      <c r="H65" s="800" t="s">
        <v>180</v>
      </c>
      <c r="I65" s="798" t="s">
        <v>181</v>
      </c>
      <c r="J65" s="1631"/>
      <c r="K65" s="1643"/>
      <c r="L65" s="1643"/>
      <c r="M65" s="1631" t="str">
        <f t="array" ref="M65:M65">IF(ISERROR(MATCH(MID(N65,1,250),MID(note_ter,1,250),0)),"n","y")</f>
        <v>n</v>
      </c>
      <c r="N65" s="1643"/>
      <c r="O65" s="1631" t="str">
        <f>H65&amp;"("&amp;I65&amp;")"</f>
        <v>Шебекинский городской округ(14750000)</v>
      </c>
      <c r="P65" s="1167"/>
      <c r="Q65" s="1167"/>
      <c r="R65" s="427"/>
      <c r="S65" s="1167"/>
      <c r="T65" s="1167"/>
      <c r="U65" s="1167"/>
      <c r="V65" s="429"/>
      <c r="W65" s="429"/>
      <c r="X65" s="426"/>
      <c r="Y65" s="426"/>
      <c r="Z65" s="426"/>
      <c r="AA65" s="426"/>
      <c r="AB65" s="426"/>
      <c r="AC65" s="426"/>
    </row>
    <row customHeight="1" ht="15">
      <c r="A66" s="2224"/>
      <c r="B66" s="1167"/>
      <c r="C66" s="419"/>
      <c r="D66" s="808"/>
      <c r="E66" s="428"/>
      <c r="F66" s="184"/>
      <c r="G66" s="422" t="s">
        <v>106</v>
      </c>
      <c r="H66" s="194"/>
      <c r="I66" s="431"/>
      <c r="J66" s="1643"/>
      <c r="K66" s="1643"/>
      <c r="L66" s="1643"/>
      <c r="M66" s="1643"/>
      <c r="N66" s="1631"/>
      <c r="O66" s="1643"/>
      <c r="P66" s="1167"/>
      <c r="Q66" s="1167"/>
      <c r="R66" s="427"/>
      <c r="S66" s="1167"/>
      <c r="T66" s="1167"/>
      <c r="U66" s="1167"/>
      <c r="V66" s="429"/>
      <c r="W66" s="429"/>
      <c r="X66" s="426"/>
      <c r="Y66" s="426"/>
      <c r="Z66" s="426"/>
      <c r="AA66" s="426"/>
      <c r="AB66" s="426"/>
      <c r="AC66" s="426"/>
    </row>
    <row customHeight="1" ht="15">
      <c r="A67" s="2224" t="s">
        <v>184</v>
      </c>
      <c r="B67" s="1167"/>
      <c r="C67" s="808" t="s">
        <v>102</v>
      </c>
      <c r="D67" s="1825"/>
      <c r="E67" s="1812" t="str">
        <f>A67</f>
        <v>19</v>
      </c>
      <c r="F67" s="811" t="s">
        <v>185</v>
      </c>
      <c r="G67" s="547" t="str">
        <f>"Территория "&amp;E67</f>
        <v>Территория 19</v>
      </c>
      <c r="H67" s="799"/>
      <c r="I67" s="799"/>
      <c r="J67" s="796"/>
      <c r="K67" s="1631"/>
      <c r="L67" s="1631"/>
      <c r="M67" s="1631"/>
      <c r="N67" s="233"/>
      <c r="O67" s="1631"/>
      <c r="P67" s="232"/>
      <c r="Q67" s="232"/>
      <c r="R67" s="232"/>
      <c r="S67" s="232"/>
      <c r="T67" s="1826"/>
      <c r="U67" s="1826"/>
      <c r="V67" s="1826"/>
      <c r="W67" s="1826"/>
      <c r="X67" s="1826"/>
      <c r="Y67" s="1826"/>
      <c r="Z67" s="1826"/>
      <c r="AA67" s="1826"/>
      <c r="AB67" s="1826"/>
      <c r="AC67" s="1826"/>
    </row>
    <row customHeight="1" ht="15">
      <c r="A68" s="2224"/>
      <c r="B68" s="1167">
        <v>1</v>
      </c>
      <c r="C68" s="1167"/>
      <c r="D68" s="807"/>
      <c r="E68" s="1820" t="str">
        <f>A67&amp;"."&amp;B68</f>
        <v>19.1</v>
      </c>
      <c r="F68" s="810" t="s">
        <v>186</v>
      </c>
      <c r="G68" s="800" t="s">
        <v>187</v>
      </c>
      <c r="H68" s="800" t="s">
        <v>188</v>
      </c>
      <c r="I68" s="798" t="s">
        <v>189</v>
      </c>
      <c r="J68" s="1631"/>
      <c r="K68" s="1643"/>
      <c r="L68" s="1643"/>
      <c r="M68" s="1631" t="str">
        <f t="array" ref="M68:M68">IF(ISERROR(MATCH(MID(N68,1,250),MID(note_ter,1,250),0)),"n","y")</f>
        <v>n</v>
      </c>
      <c r="N68" s="1643"/>
      <c r="O68" s="1631" t="str">
        <f>H68&amp;"("&amp;I68&amp;")"</f>
        <v>поселок Чернянка(14654151)</v>
      </c>
      <c r="P68" s="1167"/>
      <c r="Q68" s="1167"/>
      <c r="R68" s="427"/>
      <c r="S68" s="1167"/>
      <c r="T68" s="1167"/>
      <c r="U68" s="1167"/>
      <c r="V68" s="429"/>
      <c r="W68" s="429"/>
      <c r="X68" s="426"/>
      <c r="Y68" s="426"/>
      <c r="Z68" s="426"/>
      <c r="AA68" s="426"/>
      <c r="AB68" s="426"/>
      <c r="AC68" s="426"/>
    </row>
    <row customHeight="1" ht="15">
      <c r="A69" s="2224"/>
      <c r="B69" s="1167"/>
      <c r="C69" s="419"/>
      <c r="D69" s="808"/>
      <c r="E69" s="428"/>
      <c r="F69" s="184"/>
      <c r="G69" s="422" t="s">
        <v>106</v>
      </c>
      <c r="H69" s="194"/>
      <c r="I69" s="431"/>
      <c r="J69" s="1643"/>
      <c r="K69" s="1643"/>
      <c r="L69" s="1643"/>
      <c r="M69" s="1643"/>
      <c r="N69" s="1631"/>
      <c r="O69" s="1643"/>
      <c r="P69" s="1167"/>
      <c r="Q69" s="1167"/>
      <c r="R69" s="427"/>
      <c r="S69" s="1167"/>
      <c r="T69" s="1167"/>
      <c r="U69" s="1167"/>
      <c r="V69" s="429"/>
      <c r="W69" s="429"/>
      <c r="X69" s="426"/>
      <c r="Y69" s="426"/>
      <c r="Z69" s="426"/>
      <c r="AA69" s="426"/>
      <c r="AB69" s="426"/>
      <c r="AC69" s="426"/>
    </row>
    <row customHeight="1" ht="15">
      <c r="A70" s="2224" t="s">
        <v>190</v>
      </c>
      <c r="B70" s="1167"/>
      <c r="C70" s="808" t="s">
        <v>102</v>
      </c>
      <c r="D70" s="1825"/>
      <c r="E70" s="1812" t="str">
        <f>A70</f>
        <v>20</v>
      </c>
      <c r="F70" s="811" t="s">
        <v>191</v>
      </c>
      <c r="G70" s="547" t="str">
        <f>"Территория "&amp;E70</f>
        <v>Территория 20</v>
      </c>
      <c r="H70" s="799"/>
      <c r="I70" s="799"/>
      <c r="J70" s="796"/>
      <c r="K70" s="1631"/>
      <c r="L70" s="1631"/>
      <c r="M70" s="1631"/>
      <c r="N70" s="233"/>
      <c r="O70" s="1631"/>
      <c r="P70" s="232"/>
      <c r="Q70" s="232"/>
      <c r="R70" s="232"/>
      <c r="S70" s="232"/>
      <c r="T70" s="1826"/>
      <c r="U70" s="1826"/>
      <c r="V70" s="1826"/>
      <c r="W70" s="1826"/>
      <c r="X70" s="1826"/>
      <c r="Y70" s="1826"/>
      <c r="Z70" s="1826"/>
      <c r="AA70" s="1826"/>
      <c r="AB70" s="1826"/>
      <c r="AC70" s="1826"/>
    </row>
    <row customHeight="1" ht="15">
      <c r="A71" s="2224"/>
      <c r="B71" s="1167">
        <v>1</v>
      </c>
      <c r="C71" s="1167"/>
      <c r="D71" s="807"/>
      <c r="E71" s="1820" t="str">
        <f>A70&amp;"."&amp;B71</f>
        <v>20.1</v>
      </c>
      <c r="F71" s="810" t="s">
        <v>192</v>
      </c>
      <c r="G71" s="800" t="s">
        <v>187</v>
      </c>
      <c r="H71" s="800" t="s">
        <v>187</v>
      </c>
      <c r="I71" s="798" t="s">
        <v>193</v>
      </c>
      <c r="J71" s="1631"/>
      <c r="K71" s="1643"/>
      <c r="L71" s="1643"/>
      <c r="M71" s="1631" t="str">
        <f t="array" ref="M71:M71">IF(ISERROR(MATCH(MID(N71,1,250),MID(note_ter,1,250),0)),"n","y")</f>
        <v>n</v>
      </c>
      <c r="N71" s="1643"/>
      <c r="O71" s="1631" t="str">
        <f>H71&amp;"("&amp;I71&amp;")"</f>
        <v>Чернянский муниципальный район(14654000)</v>
      </c>
      <c r="P71" s="1167"/>
      <c r="Q71" s="1167"/>
      <c r="R71" s="427"/>
      <c r="S71" s="1167"/>
      <c r="T71" s="1167"/>
      <c r="U71" s="1167"/>
      <c r="V71" s="429"/>
      <c r="W71" s="429"/>
      <c r="X71" s="426"/>
      <c r="Y71" s="426"/>
      <c r="Z71" s="426"/>
      <c r="AA71" s="426"/>
      <c r="AB71" s="426"/>
      <c r="AC71" s="426"/>
    </row>
    <row customHeight="1" ht="15">
      <c r="A72" s="2224"/>
      <c r="B72" s="1167"/>
      <c r="C72" s="419"/>
      <c r="D72" s="808"/>
      <c r="E72" s="428"/>
      <c r="F72" s="184"/>
      <c r="G72" s="422" t="s">
        <v>106</v>
      </c>
      <c r="H72" s="194"/>
      <c r="I72" s="431"/>
      <c r="J72" s="1643"/>
      <c r="K72" s="1643"/>
      <c r="L72" s="1643"/>
      <c r="M72" s="1643"/>
      <c r="N72" s="1631"/>
      <c r="O72" s="1643"/>
      <c r="P72" s="1167"/>
      <c r="Q72" s="1167"/>
      <c r="R72" s="427"/>
      <c r="S72" s="1167"/>
      <c r="T72" s="1167"/>
      <c r="U72" s="1167"/>
      <c r="V72" s="429"/>
      <c r="W72" s="429"/>
      <c r="X72" s="426"/>
      <c r="Y72" s="426"/>
      <c r="Z72" s="426"/>
      <c r="AA72" s="426"/>
      <c r="AB72" s="426"/>
      <c r="AC72" s="426"/>
    </row>
    <row customHeight="1" ht="15">
      <c r="A73" s="2224" t="s">
        <v>194</v>
      </c>
      <c r="B73" s="1167"/>
      <c r="C73" s="808" t="s">
        <v>102</v>
      </c>
      <c r="D73" s="1825"/>
      <c r="E73" s="1812" t="str">
        <f>A73</f>
        <v>21</v>
      </c>
      <c r="F73" s="811" t="s">
        <v>195</v>
      </c>
      <c r="G73" s="547" t="str">
        <f>"Территория "&amp;E73</f>
        <v>Территория 21</v>
      </c>
      <c r="H73" s="799"/>
      <c r="I73" s="799"/>
      <c r="J73" s="796"/>
      <c r="K73" s="1631"/>
      <c r="L73" s="1631"/>
      <c r="M73" s="1631"/>
      <c r="N73" s="233"/>
      <c r="O73" s="1631"/>
      <c r="P73" s="232"/>
      <c r="Q73" s="232"/>
      <c r="R73" s="232"/>
      <c r="S73" s="232"/>
      <c r="T73" s="1826"/>
      <c r="U73" s="1826"/>
      <c r="V73" s="1826"/>
      <c r="W73" s="1826"/>
      <c r="X73" s="1826"/>
      <c r="Y73" s="1826"/>
      <c r="Z73" s="1826"/>
      <c r="AA73" s="1826"/>
      <c r="AB73" s="1826"/>
      <c r="AC73" s="1826"/>
    </row>
    <row customHeight="1" ht="15">
      <c r="A74" s="2224"/>
      <c r="B74" s="1167">
        <v>1</v>
      </c>
      <c r="C74" s="1167"/>
      <c r="D74" s="807"/>
      <c r="E74" s="1820" t="str">
        <f>A73&amp;"."&amp;B74</f>
        <v>21.1</v>
      </c>
      <c r="F74" s="810" t="s">
        <v>196</v>
      </c>
      <c r="G74" s="800" t="s">
        <v>197</v>
      </c>
      <c r="H74" s="800" t="s">
        <v>197</v>
      </c>
      <c r="I74" s="798" t="s">
        <v>198</v>
      </c>
      <c r="J74" s="1631"/>
      <c r="K74" s="1643"/>
      <c r="L74" s="1643"/>
      <c r="M74" s="1631" t="str">
        <f t="array" ref="M74:M74">IF(ISERROR(MATCH(MID(N74,1,250),MID(note_ter,1,250),0)),"n","y")</f>
        <v>n</v>
      </c>
      <c r="N74" s="1643"/>
      <c r="O74" s="1631" t="str">
        <f>H74&amp;"("&amp;I74&amp;")"</f>
        <v>Яковлевский городской округ(14755000)</v>
      </c>
      <c r="P74" s="1167"/>
      <c r="Q74" s="1167"/>
      <c r="R74" s="427"/>
      <c r="S74" s="1167"/>
      <c r="T74" s="1167"/>
      <c r="U74" s="1167"/>
      <c r="V74" s="429"/>
      <c r="W74" s="429"/>
      <c r="X74" s="426"/>
      <c r="Y74" s="426"/>
      <c r="Z74" s="426"/>
      <c r="AA74" s="426"/>
      <c r="AB74" s="426"/>
      <c r="AC74" s="426"/>
    </row>
    <row customHeight="1" ht="15">
      <c r="A75" s="2224"/>
      <c r="B75" s="1167"/>
      <c r="C75" s="419"/>
      <c r="D75" s="808"/>
      <c r="E75" s="428"/>
      <c r="F75" s="184"/>
      <c r="G75" s="422" t="s">
        <v>106</v>
      </c>
      <c r="H75" s="194"/>
      <c r="I75" s="431"/>
      <c r="J75" s="1643"/>
      <c r="K75" s="1643"/>
      <c r="L75" s="1643"/>
      <c r="M75" s="1643"/>
      <c r="N75" s="1631"/>
      <c r="O75" s="1643"/>
      <c r="P75" s="1167"/>
      <c r="Q75" s="1167"/>
      <c r="R75" s="427"/>
      <c r="S75" s="1167"/>
      <c r="T75" s="1167"/>
      <c r="U75" s="1167"/>
      <c r="V75" s="429"/>
      <c r="W75" s="429"/>
      <c r="X75" s="426"/>
      <c r="Y75" s="426"/>
      <c r="Z75" s="426"/>
      <c r="AA75" s="426"/>
      <c r="AB75" s="426"/>
      <c r="AC75" s="426"/>
    </row>
    <row s="1826" customFormat="1" customHeight="1" ht="14.699999999999998">
      <c r="A76" s="765"/>
      <c r="B76" s="424"/>
      <c r="C76" s="765"/>
      <c r="D76" s="789"/>
      <c r="E76" s="801"/>
      <c r="F76" s="185"/>
      <c r="G76" s="423" t="s">
        <v>199</v>
      </c>
      <c r="H76" s="185"/>
      <c r="I76" s="186"/>
      <c r="J76" s="256"/>
      <c r="K76" s="162"/>
      <c r="L76" s="162"/>
      <c r="M76" s="162"/>
      <c r="N76" s="233" t="s">
        <v>200</v>
      </c>
      <c r="O76" s="162"/>
      <c r="P76" s="232"/>
      <c r="Q76" s="232"/>
      <c r="R76" s="232"/>
      <c r="S76" s="232"/>
      <c r="AC76" s="123">
        <v>14</v>
      </c>
    </row>
    <row s="1826" customFormat="1" customHeight="1" ht="22.049999999999997">
      <c r="A77" s="765"/>
      <c r="B77" s="424"/>
      <c r="C77" s="765"/>
      <c r="D77" s="172"/>
      <c r="E77" s="187"/>
      <c r="F77" s="187"/>
      <c r="G77" s="187"/>
      <c r="H77" s="187"/>
      <c r="I77" s="187"/>
      <c r="J77" s="162"/>
      <c r="K77" s="162"/>
      <c r="L77" s="162"/>
      <c r="M77" s="162"/>
      <c r="N77" s="233"/>
      <c r="O77" s="162"/>
      <c r="P77" s="232"/>
      <c r="Q77" s="232"/>
      <c r="R77" s="232"/>
      <c r="S77" s="232"/>
      <c r="AC77" s="123">
        <v>21</v>
      </c>
    </row>
    <row s="1826" customFormat="1" customHeight="1" ht="14.699999999999998">
      <c r="A78" s="765"/>
      <c r="B78" s="424"/>
      <c r="C78" s="765"/>
      <c r="D78" s="172"/>
      <c r="E78" s="90"/>
      <c r="F78" s="765"/>
      <c r="G78" s="90"/>
      <c r="H78" s="90"/>
      <c r="I78" s="90"/>
      <c r="J78" s="162"/>
      <c r="K78" s="162"/>
      <c r="L78" s="162"/>
      <c r="M78" s="162"/>
      <c r="N78" s="233"/>
      <c r="O78" s="162"/>
      <c r="P78" s="232"/>
      <c r="Q78" s="232"/>
      <c r="R78" s="232"/>
      <c r="S78" s="232"/>
      <c r="AC78" s="123">
        <v>14</v>
      </c>
    </row>
    <row s="1826" customFormat="1" customHeight="1" ht="1.05">
      <c r="A79" s="765"/>
      <c r="B79" s="424"/>
      <c r="C79" s="765"/>
      <c r="D79" s="172"/>
      <c r="E79" s="90"/>
      <c r="F79" s="765"/>
      <c r="G79" s="90"/>
      <c r="H79" s="90"/>
      <c r="I79" s="90"/>
      <c r="J79" s="162"/>
      <c r="K79" s="162"/>
      <c r="L79" s="162"/>
      <c r="M79" s="162"/>
      <c r="N79" s="233"/>
      <c r="O79" s="162"/>
      <c r="P79" s="232"/>
      <c r="Q79" s="232"/>
      <c r="R79" s="232"/>
      <c r="S79" s="232"/>
      <c r="AC79" s="123">
        <v>1</v>
      </c>
    </row>
    <row s="1071" customFormat="1" customHeight="1" ht="10.5">
      <c r="B80" s="841"/>
      <c r="D80" s="189"/>
      <c r="J80" s="162"/>
      <c r="K80" s="162"/>
      <c r="L80" s="162"/>
      <c r="M80" s="162"/>
      <c r="N80" s="233"/>
      <c r="O80" s="162"/>
      <c r="P80" s="232"/>
      <c r="Q80" s="232"/>
      <c r="R80" s="232"/>
      <c r="S80" s="232"/>
      <c r="AC80" s="188">
        <v>10</v>
      </c>
    </row>
    <row s="1071" customFormat="1" customHeight="1" ht="10.5">
      <c r="B81" s="841"/>
      <c r="D81" s="189"/>
      <c r="J81" s="162"/>
      <c r="K81" s="162"/>
      <c r="L81" s="162"/>
      <c r="M81" s="162"/>
      <c r="N81" s="233"/>
      <c r="O81" s="162"/>
      <c r="P81" s="232"/>
      <c r="Q81" s="232"/>
      <c r="R81" s="232"/>
      <c r="S81" s="232"/>
      <c r="AC81" s="188">
        <v>10</v>
      </c>
    </row>
    <row customHeight="1" ht="14.699999999999998">
      <c r="AC82" s="90">
        <v>14</v>
      </c>
    </row>
    <row customHeight="1" ht="14.699999999999998">
      <c r="AC83" s="90">
        <v>14</v>
      </c>
    </row>
    <row customHeight="1" ht="14.699999999999998">
      <c r="AC84" s="90">
        <v>14</v>
      </c>
    </row>
    <row customHeight="1" ht="14.699999999999998">
      <c r="H85" s="71"/>
      <c r="AC85" s="90">
        <v>14</v>
      </c>
    </row>
    <row customHeight="1" ht="14.699999999999998">
      <c r="AC86" s="90">
        <v>14</v>
      </c>
    </row>
    <row customHeight="1" ht="14.699999999999998">
      <c r="AC87" s="90">
        <v>14</v>
      </c>
    </row>
    <row customHeight="1" ht="14.699999999999998">
      <c r="AC88" s="90">
        <v>14</v>
      </c>
    </row>
    <row customHeight="1" ht="14.699999999999998">
      <c r="J89" s="90"/>
      <c r="K89" s="90"/>
      <c r="L89" s="90"/>
      <c r="AC89" s="90">
        <v>14</v>
      </c>
    </row>
    <row customHeight="1" ht="22.5" hidden="1">
      <c r="A90" s="765" t="s">
        <v>82</v>
      </c>
      <c r="B90" s="424">
        <v>0</v>
      </c>
      <c r="C90" s="765">
        <v>3</v>
      </c>
      <c r="D90" s="172">
        <v>3</v>
      </c>
      <c r="E90" s="90">
        <v>6</v>
      </c>
      <c r="F90" s="765">
        <v>0</v>
      </c>
      <c r="G90" s="90">
        <v>46</v>
      </c>
      <c r="H90" s="90">
        <v>42</v>
      </c>
      <c r="I90" s="90">
        <v>14</v>
      </c>
      <c r="J90" s="162">
        <v>3</v>
      </c>
      <c r="K90" s="162">
        <v>0</v>
      </c>
      <c r="L90" s="162">
        <v>0</v>
      </c>
      <c r="M90" s="162">
        <v>0</v>
      </c>
      <c r="N90" s="233">
        <v>0</v>
      </c>
      <c r="O90" s="162">
        <v>0</v>
      </c>
      <c r="P90" s="232">
        <v>0</v>
      </c>
      <c r="Q90" s="232">
        <v>0</v>
      </c>
      <c r="R90" s="232">
        <v>0</v>
      </c>
      <c r="S90" s="232">
        <v>0</v>
      </c>
      <c r="T90" s="90">
        <v>0</v>
      </c>
      <c r="U90" s="90">
        <v>0</v>
      </c>
      <c r="V90" s="90">
        <v>0</v>
      </c>
      <c r="W90" s="90">
        <v>0</v>
      </c>
      <c r="X90" s="90">
        <v>0</v>
      </c>
      <c r="Y90" s="90">
        <v>0</v>
      </c>
      <c r="Z90" s="90">
        <v>0</v>
      </c>
      <c r="AA90" s="90">
        <v>0</v>
      </c>
      <c r="AB90" s="90">
        <v>8</v>
      </c>
      <c r="AC90" s="90">
        <v>23</v>
      </c>
    </row>
  </sheetData>
  <sheetProtection formatColumns="0" formatRows="0" autoFilter="0" sort="0" insertRows="0" insertColumns="1" deleteRows="0" deleteColumns="0"/>
  <mergeCells count="24">
    <mergeCell ref="A12:A15"/>
    <mergeCell ref="E4:I4"/>
    <mergeCell ref="E8:G8"/>
    <mergeCell ref="H8:I8"/>
    <mergeCell ref="A16:A18"/>
    <mergeCell ref="A19:A21"/>
    <mergeCell ref="A22:A24"/>
    <mergeCell ref="A25:A27"/>
    <mergeCell ref="A28:A30"/>
    <mergeCell ref="A31:A33"/>
    <mergeCell ref="A34:A36"/>
    <mergeCell ref="A37:A39"/>
    <mergeCell ref="A40:A42"/>
    <mergeCell ref="A43:A45"/>
    <mergeCell ref="A46:A48"/>
    <mergeCell ref="A49:A51"/>
    <mergeCell ref="A52:A54"/>
    <mergeCell ref="A55:A57"/>
    <mergeCell ref="A58:A60"/>
    <mergeCell ref="A61:A63"/>
    <mergeCell ref="A64:A66"/>
    <mergeCell ref="A67:A69"/>
    <mergeCell ref="A70:A72"/>
    <mergeCell ref="A73:A75"/>
  </mergeCells>
  <dataValidations count="21">
    <dataValidation type="textLength" operator="lessThanOrEqual" allowBlank="1" showInputMessage="1" showErrorMessage="1" errorTitle="Ошибка" error="Допускается ввод не более 900 символов!" sqref="G73">
      <formula1>900</formula1>
    </dataValidation>
    <dataValidation type="textLength" operator="lessThanOrEqual" allowBlank="1" showInputMessage="1" showErrorMessage="1" errorTitle="Ошибка" error="Допускается ввод не более 900 символов!" sqref="G70">
      <formula1>900</formula1>
    </dataValidation>
    <dataValidation type="textLength" operator="lessThanOrEqual" allowBlank="1" showInputMessage="1" showErrorMessage="1" errorTitle="Ошибка" error="Допускается ввод не более 900 символов!" sqref="G67">
      <formula1>900</formula1>
    </dataValidation>
    <dataValidation type="textLength" operator="lessThanOrEqual" allowBlank="1" showInputMessage="1" showErrorMessage="1" errorTitle="Ошибка" error="Допускается ввод не более 900 символов!" sqref="G64">
      <formula1>900</formula1>
    </dataValidation>
    <dataValidation type="textLength" operator="lessThanOrEqual" allowBlank="1" showInputMessage="1" showErrorMessage="1" errorTitle="Ошибка" error="Допускается ввод не более 900 символов!" sqref="G61">
      <formula1>900</formula1>
    </dataValidation>
    <dataValidation type="textLength" operator="lessThanOrEqual" allowBlank="1" showInputMessage="1" showErrorMessage="1" errorTitle="Ошибка" error="Допускается ввод не более 900 символов!" sqref="G58">
      <formula1>900</formula1>
    </dataValidation>
    <dataValidation type="textLength" operator="lessThanOrEqual" allowBlank="1" showInputMessage="1" showErrorMessage="1" errorTitle="Ошибка" error="Допускается ввод не более 900 символов!" sqref="G55">
      <formula1>900</formula1>
    </dataValidation>
    <dataValidation type="textLength" operator="lessThanOrEqual" allowBlank="1" showInputMessage="1" showErrorMessage="1" errorTitle="Ошибка" error="Допускается ввод не более 900 символов!" sqref="G52">
      <formula1>900</formula1>
    </dataValidation>
    <dataValidation type="textLength" operator="lessThanOrEqual" allowBlank="1" showInputMessage="1" showErrorMessage="1" errorTitle="Ошибка" error="Допускается ввод не более 900 символов!" sqref="G49">
      <formula1>900</formula1>
    </dataValidation>
    <dataValidation type="textLength" operator="lessThanOrEqual" allowBlank="1" showInputMessage="1" showErrorMessage="1" errorTitle="Ошибка" error="Допускается ввод не более 900 символов!" sqref="G46">
      <formula1>900</formula1>
    </dataValidation>
    <dataValidation type="textLength" operator="lessThanOrEqual" allowBlank="1" showInputMessage="1" showErrorMessage="1" errorTitle="Ошибка" error="Допускается ввод не более 900 символов!" sqref="G43">
      <formula1>900</formula1>
    </dataValidation>
    <dataValidation type="textLength" operator="lessThanOrEqual" allowBlank="1" showInputMessage="1" showErrorMessage="1" errorTitle="Ошибка" error="Допускается ввод не более 900 символов!" sqref="G40">
      <formula1>900</formula1>
    </dataValidation>
    <dataValidation type="textLength" operator="lessThanOrEqual" allowBlank="1" showInputMessage="1" showErrorMessage="1" errorTitle="Ошибка" error="Допускается ввод не более 900 символов!" sqref="G37">
      <formula1>900</formula1>
    </dataValidation>
    <dataValidation type="textLength" operator="lessThanOrEqual" allowBlank="1" showInputMessage="1" showErrorMessage="1" errorTitle="Ошибка" error="Допускается ввод не более 900 символов!" sqref="G34">
      <formula1>900</formula1>
    </dataValidation>
    <dataValidation type="textLength" operator="lessThanOrEqual" allowBlank="1" showInputMessage="1" showErrorMessage="1" errorTitle="Ошибка" error="Допускается ввод не более 900 символов!" sqref="G31">
      <formula1>900</formula1>
    </dataValidation>
    <dataValidation type="textLength" operator="lessThanOrEqual" allowBlank="1" showInputMessage="1" showErrorMessage="1" errorTitle="Ошибка" error="Допускается ввод не более 900 символов!" sqref="G28">
      <formula1>900</formula1>
    </dataValidation>
    <dataValidation type="textLength" operator="lessThanOrEqual" allowBlank="1" showInputMessage="1" showErrorMessage="1" errorTitle="Ошибка" error="Допускается ввод не более 900 символов!" sqref="G25">
      <formula1>900</formula1>
    </dataValidation>
    <dataValidation type="textLength" operator="lessThanOrEqual" allowBlank="1" showInputMessage="1" showErrorMessage="1" errorTitle="Ошибка" error="Допускается ввод не более 900 символов!" sqref="G22">
      <formula1>900</formula1>
    </dataValidation>
    <dataValidation type="textLength" operator="lessThanOrEqual" allowBlank="1" showInputMessage="1" showErrorMessage="1" errorTitle="Ошибка" error="Допускается ввод не более 900 символов!" sqref="G19">
      <formula1>900</formula1>
    </dataValidation>
    <dataValidation type="textLength" operator="lessThanOrEqual" allowBlank="1" showInputMessage="1" showErrorMessage="1" errorTitle="Ошибка" error="Допускается ввод не более 900 символов!" sqref="G16">
      <formula1>900</formula1>
    </dataValidation>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F722B8-1505-52A9-B946-F9E2D6DCE40D}"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1860" width="6.421875" hidden="1" customWidth="1"/>
    <col min="2" max="2" style="1860" width="2.00390625" hidden="1" customWidth="1"/>
    <col min="3" max="3" style="1860" width="3.00390625" customWidth="1"/>
    <col min="4" max="4" style="1860" width="4.00390625" customWidth="1"/>
    <col min="5" max="5" style="1860" width="44.00390625" customWidth="1"/>
    <col min="6" max="6" style="1860" width="6.421875" customWidth="1"/>
    <col min="7" max="7" style="1860" width="4.00390625" customWidth="1"/>
    <col min="8" max="8" style="1860" width="5.00390625" customWidth="1"/>
    <col min="9" max="9" style="1860" width="52.00390625" customWidth="1"/>
    <col min="10" max="10" style="1860" width="7.00390625" customWidth="1"/>
    <col min="11" max="11" style="1860" width="3.00390625" customWidth="1"/>
    <col min="12" max="12" style="1860" width="6.00390625" customWidth="1"/>
    <col min="13" max="13" style="1860" width="56.00390625" customWidth="1"/>
    <col min="14" max="14" style="1377" width="8.00390625" customWidth="1"/>
    <col min="15" max="20" style="1631" width="9.140625" hidden="1"/>
    <col min="21" max="24" style="1273" width="9.140625" hidden="1"/>
    <col min="25" max="37" style="1377" width="9.140625" hidden="1"/>
    <col min="38" max="38" style="1377" width="8.00390625" customWidth="1"/>
    <col min="39" max="39" style="1860" width="9.140625" hidden="1"/>
  </cols>
  <sheetData>
    <row customHeight="1" ht="11.25" hidden="1">
      <c r="AM1" s="590" t="s">
        <v>14</v>
      </c>
    </row>
    <row customHeight="1" ht="11.25" hidden="1">
      <c r="AM2" s="590">
        <v>0</v>
      </c>
    </row>
    <row customHeight="1" ht="11.549999999999999">
      <c r="AM3" s="590">
        <v>11</v>
      </c>
    </row>
    <row customHeight="1" ht="35.699999999999996">
      <c r="A4" s="592"/>
      <c r="B4" s="592"/>
      <c r="D4" s="2126" t="str">
        <f>Титульный!E5</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7"/>
      <c r="F4" s="2127"/>
      <c r="G4" s="2127"/>
      <c r="H4" s="2127"/>
      <c r="I4" s="2128"/>
      <c r="J4" s="591"/>
      <c r="K4" s="591"/>
      <c r="L4" s="591"/>
      <c r="M4" s="591"/>
      <c r="AM4" s="590">
        <v>34</v>
      </c>
    </row>
    <row s="596" customFormat="1" customHeight="1" ht="14.699999999999998">
      <c r="A5" s="592"/>
      <c r="B5" s="592"/>
      <c r="C5" s="592"/>
      <c r="D5" s="2129" t="str">
        <f>IF(org=0,"Не определено",org)</f>
        <v>ГУП "Белоблводоканал"</v>
      </c>
      <c r="E5" s="2130"/>
      <c r="F5" s="2130"/>
      <c r="G5" s="2130"/>
      <c r="H5" s="2130"/>
      <c r="I5" s="2131"/>
      <c r="J5" s="593"/>
      <c r="K5" s="593"/>
      <c r="L5" s="593"/>
      <c r="M5" s="593"/>
      <c r="N5" s="593"/>
      <c r="O5" s="877"/>
      <c r="P5" s="877"/>
      <c r="Q5" s="877"/>
      <c r="R5" s="877"/>
      <c r="S5" s="877"/>
      <c r="T5" s="877"/>
      <c r="U5" s="1268"/>
      <c r="V5" s="1268"/>
      <c r="W5" s="1268"/>
      <c r="X5" s="1268"/>
      <c r="Y5" s="593"/>
      <c r="Z5" s="593"/>
      <c r="AA5" s="593"/>
      <c r="AB5" s="593"/>
      <c r="AC5" s="593"/>
      <c r="AD5" s="593"/>
      <c r="AE5" s="593"/>
      <c r="AF5" s="593"/>
      <c r="AG5" s="593"/>
      <c r="AH5" s="593"/>
      <c r="AI5" s="593"/>
      <c r="AJ5" s="593"/>
      <c r="AK5" s="593"/>
      <c r="AL5" s="593"/>
      <c r="AM5" s="594">
        <v>14</v>
      </c>
    </row>
    <row s="596" customFormat="1" customHeight="1" ht="6.3">
      <c r="A6" s="2132"/>
      <c r="B6" s="2132"/>
      <c r="C6" s="2132"/>
      <c r="D6" s="2132"/>
      <c r="E6" s="2132"/>
      <c r="F6" s="2132"/>
      <c r="G6" s="595"/>
      <c r="H6" s="595"/>
      <c r="I6" s="595"/>
      <c r="J6" s="595"/>
      <c r="K6" s="595"/>
      <c r="N6" s="597"/>
      <c r="O6" s="1421"/>
      <c r="P6" s="1421"/>
      <c r="Q6" s="1421"/>
      <c r="R6" s="1421"/>
      <c r="S6" s="1421"/>
      <c r="T6" s="1421"/>
      <c r="U6" s="1271"/>
      <c r="V6" s="1271"/>
      <c r="W6" s="1271"/>
      <c r="X6" s="1271"/>
      <c r="Y6" s="597"/>
      <c r="Z6" s="597"/>
      <c r="AA6" s="597"/>
      <c r="AB6" s="597"/>
      <c r="AC6" s="597"/>
      <c r="AD6" s="597"/>
      <c r="AE6" s="597"/>
      <c r="AF6" s="597"/>
      <c r="AG6" s="597"/>
      <c r="AH6" s="597"/>
      <c r="AI6" s="597"/>
      <c r="AJ6" s="597"/>
      <c r="AK6" s="597"/>
      <c r="AL6" s="597"/>
      <c r="AM6" s="596">
        <v>6</v>
      </c>
    </row>
    <row customHeight="1" ht="45.75" hidden="1">
      <c r="E7" s="2137"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8"/>
      <c r="G7" s="2138"/>
      <c r="H7" s="2138"/>
      <c r="I7" s="2138"/>
      <c r="J7" s="2138"/>
      <c r="K7" s="2138"/>
      <c r="L7" s="2138"/>
      <c r="M7" s="2138"/>
      <c r="AM7" s="590">
        <v>0</v>
      </c>
    </row>
    <row s="596" customFormat="1" customHeight="1" ht="6.3">
      <c r="A8" s="598"/>
      <c r="B8" s="598"/>
      <c r="C8" s="598"/>
      <c r="D8" s="598"/>
      <c r="E8" s="598"/>
      <c r="F8" s="598"/>
      <c r="G8" s="598"/>
      <c r="H8" s="598"/>
      <c r="I8" s="598"/>
      <c r="J8" s="598"/>
      <c r="K8" s="598"/>
      <c r="L8" s="598"/>
      <c r="M8" s="596"/>
      <c r="N8" s="593"/>
      <c r="O8" s="877"/>
      <c r="P8" s="877"/>
      <c r="Q8" s="877"/>
      <c r="R8" s="877"/>
      <c r="S8" s="877"/>
      <c r="T8" s="877"/>
      <c r="U8" s="1268"/>
      <c r="V8" s="1268"/>
      <c r="W8" s="1268"/>
      <c r="X8" s="1268"/>
      <c r="Y8" s="593"/>
      <c r="Z8" s="593"/>
      <c r="AA8" s="593"/>
      <c r="AB8" s="593"/>
      <c r="AC8" s="593"/>
      <c r="AD8" s="593"/>
      <c r="AE8" s="593"/>
      <c r="AF8" s="593"/>
      <c r="AG8" s="593"/>
      <c r="AH8" s="593"/>
      <c r="AI8" s="593"/>
      <c r="AJ8" s="593"/>
      <c r="AK8" s="593"/>
      <c r="AL8" s="593"/>
      <c r="AM8" s="594">
        <v>6</v>
      </c>
    </row>
    <row customHeight="1" ht="18.75">
      <c r="A9" s="2133"/>
      <c r="B9" s="330"/>
      <c r="C9" s="330"/>
      <c r="D9" s="2134" t="s">
        <v>201</v>
      </c>
      <c r="E9" s="2134"/>
      <c r="F9" s="2135" t="s">
        <v>202</v>
      </c>
      <c r="G9" s="2136"/>
      <c r="H9" s="2136"/>
      <c r="I9" s="2136"/>
      <c r="J9" s="2139" t="s">
        <v>203</v>
      </c>
      <c r="K9" s="2139"/>
      <c r="L9" s="2139"/>
      <c r="M9" s="2139"/>
      <c r="AM9" s="590">
        <v>18</v>
      </c>
    </row>
    <row customHeight="1" ht="24">
      <c r="A10" s="2133"/>
      <c r="B10" s="599"/>
      <c r="C10" s="532"/>
      <c r="D10" s="530" t="s">
        <v>88</v>
      </c>
      <c r="E10" s="530" t="s">
        <v>89</v>
      </c>
      <c r="F10" s="530" t="s">
        <v>204</v>
      </c>
      <c r="G10" s="2140" t="s">
        <v>88</v>
      </c>
      <c r="H10" s="2141"/>
      <c r="I10" s="530" t="s">
        <v>89</v>
      </c>
      <c r="J10" s="530" t="s">
        <v>204</v>
      </c>
      <c r="K10" s="2140" t="s">
        <v>88</v>
      </c>
      <c r="L10" s="2141"/>
      <c r="M10" s="530" t="s">
        <v>89</v>
      </c>
      <c r="N10" s="1634"/>
      <c r="AM10" s="590">
        <v>23</v>
      </c>
    </row>
    <row s="1860" customFormat="1" customHeight="1" ht="11.25" hidden="1">
      <c r="A11" s="600"/>
      <c r="B11" s="600"/>
      <c r="C11" s="600"/>
      <c r="D11" s="601" t="s">
        <v>108</v>
      </c>
      <c r="E11" s="601" t="s">
        <v>99</v>
      </c>
      <c r="F11" s="601" t="s">
        <v>90</v>
      </c>
      <c r="G11" s="2122" t="s">
        <v>91</v>
      </c>
      <c r="H11" s="2123"/>
      <c r="I11" s="601" t="s">
        <v>119</v>
      </c>
      <c r="J11" s="601" t="s">
        <v>92</v>
      </c>
      <c r="K11" s="2124" t="s">
        <v>93</v>
      </c>
      <c r="L11" s="2125"/>
      <c r="M11" s="601" t="s">
        <v>132</v>
      </c>
      <c r="N11" s="1633"/>
      <c r="O11" s="1420"/>
      <c r="P11" s="1422"/>
      <c r="Q11" s="1422"/>
      <c r="R11" s="1422"/>
      <c r="S11" s="1422"/>
      <c r="T11" s="1422"/>
      <c r="U11" s="1272"/>
      <c r="V11" s="1272"/>
      <c r="W11" s="1272"/>
      <c r="X11" s="1272"/>
      <c r="Y11" s="602"/>
      <c r="Z11" s="602"/>
      <c r="AA11" s="602"/>
      <c r="AB11" s="602"/>
      <c r="AC11" s="602"/>
      <c r="AD11" s="602"/>
      <c r="AE11" s="602"/>
      <c r="AF11" s="602"/>
      <c r="AG11" s="602"/>
      <c r="AH11" s="602"/>
      <c r="AI11" s="602"/>
      <c r="AJ11" s="602"/>
      <c r="AK11" s="602"/>
      <c r="AL11" s="602"/>
      <c r="AM11" s="603">
        <v>0</v>
      </c>
    </row>
    <row customHeight="1" ht="1.05">
      <c r="A12" s="604"/>
      <c r="B12" s="605"/>
      <c r="C12" s="605"/>
      <c r="D12" s="606"/>
      <c r="E12" s="374"/>
      <c r="F12" s="607"/>
      <c r="G12" s="1066"/>
      <c r="H12" s="1066"/>
      <c r="I12" s="607"/>
      <c r="J12" s="607"/>
      <c r="K12" s="181"/>
      <c r="L12" s="374"/>
      <c r="M12" s="608"/>
      <c r="N12" s="1634"/>
      <c r="O12" s="1420" t="s">
        <v>205</v>
      </c>
      <c r="P12" s="1420" t="s">
        <v>206</v>
      </c>
      <c r="Q12" s="1420" t="s">
        <v>207</v>
      </c>
      <c r="R12" s="1420" t="s">
        <v>208</v>
      </c>
      <c r="AM12" s="590">
        <v>1</v>
      </c>
    </row>
    <row s="1860" customFormat="1" customHeight="1" ht="15.75">
      <c r="A13" s="300"/>
      <c r="B13" s="300"/>
      <c r="C13" s="533"/>
      <c r="D13" s="2115" t="s">
        <v>108</v>
      </c>
      <c r="E13" s="2116"/>
      <c r="F13" s="2119" t="s">
        <v>66</v>
      </c>
      <c r="G13" s="2120"/>
      <c r="H13" s="2121">
        <v>1</v>
      </c>
      <c r="I13" s="2112" t="str">
        <f>IF(U13="","",INDEX(TERRITORY_MR_LIST,MATCH(U13,TERRITORY_LIST_ID,0)))</f>
        <v/>
      </c>
      <c r="J13" s="2114" t="s">
        <v>19</v>
      </c>
      <c r="K13" s="609"/>
      <c r="L13" s="534" t="s">
        <v>108</v>
      </c>
      <c r="M13" s="610" t="s">
        <v>28</v>
      </c>
      <c r="N13" s="819"/>
      <c r="O13" s="1423" t="s">
        <v>209</v>
      </c>
      <c r="P13" s="1420">
        <f>$E$13</f>
        <v>0</v>
      </c>
      <c r="Q13" s="1420" t="str">
        <f>IF($F$13="нет","без дифференциации",$I$13)</f>
        <v/>
      </c>
      <c r="R13" s="1420" t="str">
        <f>IF($J$13="нет","без дифференциации",M13)</f>
        <v>без дифференциации</v>
      </c>
      <c r="S13" s="1423"/>
      <c r="T13" s="1423"/>
      <c r="U13" s="1273"/>
      <c r="V13" s="1273"/>
      <c r="W13" s="1273"/>
      <c r="X13" s="1273"/>
      <c r="Y13" s="611" t="s">
        <v>210</v>
      </c>
      <c r="Z13" s="611">
        <v>1705000</v>
      </c>
      <c r="AA13" s="611"/>
      <c r="AB13" s="611"/>
      <c r="AC13" s="611"/>
      <c r="AD13" s="611"/>
      <c r="AE13" s="611"/>
      <c r="AF13" s="611"/>
      <c r="AG13" s="611"/>
      <c r="AH13" s="611"/>
      <c r="AI13" s="611"/>
      <c r="AJ13" s="611"/>
      <c r="AK13" s="611"/>
      <c r="AL13" s="611"/>
      <c r="AM13" s="613">
        <v>15</v>
      </c>
    </row>
    <row s="1860" customFormat="1" customHeight="1" ht="15.75">
      <c r="A14" s="300"/>
      <c r="B14" s="300"/>
      <c r="C14" s="183"/>
      <c r="D14" s="2115"/>
      <c r="E14" s="2117"/>
      <c r="F14" s="2114"/>
      <c r="G14" s="2120"/>
      <c r="H14" s="2121"/>
      <c r="I14" s="2113"/>
      <c r="J14" s="2114"/>
      <c r="K14" s="428"/>
      <c r="L14" s="184"/>
      <c r="M14" s="614" t="s">
        <v>211</v>
      </c>
      <c r="N14" s="819"/>
      <c r="O14" s="1423"/>
      <c r="P14" s="1420"/>
      <c r="Q14" s="1420"/>
      <c r="R14" s="1420"/>
      <c r="S14" s="1423"/>
      <c r="T14" s="1423"/>
      <c r="U14" s="1273"/>
      <c r="V14" s="1273"/>
      <c r="W14" s="1273"/>
      <c r="X14" s="1273"/>
      <c r="Y14" s="611"/>
      <c r="Z14" s="611"/>
      <c r="AA14" s="611"/>
      <c r="AB14" s="611"/>
      <c r="AC14" s="611"/>
      <c r="AD14" s="611"/>
      <c r="AE14" s="611"/>
      <c r="AF14" s="611"/>
      <c r="AG14" s="611"/>
      <c r="AH14" s="611"/>
      <c r="AI14" s="611"/>
      <c r="AJ14" s="611"/>
      <c r="AK14" s="611"/>
      <c r="AL14" s="611"/>
      <c r="AM14" s="613">
        <v>15</v>
      </c>
    </row>
    <row s="1860" customFormat="1" customHeight="1" ht="15.75">
      <c r="A15" s="300"/>
      <c r="B15" s="300"/>
      <c r="C15" s="183"/>
      <c r="D15" s="2115"/>
      <c r="E15" s="2118"/>
      <c r="F15" s="2114"/>
      <c r="G15" s="1067"/>
      <c r="H15" s="1068"/>
      <c r="I15" s="587" t="s">
        <v>212</v>
      </c>
      <c r="J15" s="184"/>
      <c r="K15" s="184"/>
      <c r="L15" s="184"/>
      <c r="M15" s="615"/>
      <c r="N15" s="819"/>
      <c r="O15" s="1423"/>
      <c r="P15" s="1420"/>
      <c r="Q15" s="1420"/>
      <c r="R15" s="1420"/>
      <c r="S15" s="1423"/>
      <c r="T15" s="1423"/>
      <c r="U15" s="1273"/>
      <c r="V15" s="1273"/>
      <c r="W15" s="1273"/>
      <c r="X15" s="1273"/>
      <c r="Y15" s="611"/>
      <c r="Z15" s="611"/>
      <c r="AA15" s="611"/>
      <c r="AB15" s="611"/>
      <c r="AC15" s="611"/>
      <c r="AD15" s="611"/>
      <c r="AE15" s="611"/>
      <c r="AF15" s="611"/>
      <c r="AG15" s="611"/>
      <c r="AH15" s="611"/>
      <c r="AI15" s="611"/>
      <c r="AJ15" s="611"/>
      <c r="AK15" s="611"/>
      <c r="AL15" s="611"/>
      <c r="AM15" s="613">
        <v>15</v>
      </c>
    </row>
    <row customHeight="1" ht="15.75">
      <c r="A16" s="616"/>
      <c r="B16" s="142"/>
      <c r="C16" s="813"/>
      <c r="D16" s="428"/>
      <c r="E16" s="578" t="s">
        <v>213</v>
      </c>
      <c r="F16" s="184"/>
      <c r="G16" s="184"/>
      <c r="H16" s="184"/>
      <c r="I16" s="184"/>
      <c r="J16" s="184"/>
      <c r="K16" s="184" t="s">
        <v>28</v>
      </c>
      <c r="L16" s="184"/>
      <c r="M16" s="615"/>
      <c r="N16" s="1634"/>
      <c r="AM16" s="590">
        <v>15</v>
      </c>
    </row>
    <row customHeight="1" ht="11.25" hidden="1">
      <c r="A17" s="590" t="s">
        <v>82</v>
      </c>
      <c r="B17" s="590">
        <v>0</v>
      </c>
      <c r="C17" s="590">
        <v>3</v>
      </c>
      <c r="D17" s="590">
        <v>4</v>
      </c>
      <c r="E17" s="590">
        <v>44</v>
      </c>
      <c r="F17" s="590">
        <v>6</v>
      </c>
      <c r="G17" s="590">
        <v>4</v>
      </c>
      <c r="H17" s="590">
        <v>5</v>
      </c>
      <c r="I17" s="590">
        <v>52</v>
      </c>
      <c r="J17" s="590">
        <v>6</v>
      </c>
      <c r="K17" s="590">
        <v>3</v>
      </c>
      <c r="L17" s="590">
        <v>6</v>
      </c>
      <c r="M17" s="590">
        <v>56</v>
      </c>
      <c r="N17" s="591">
        <v>8</v>
      </c>
      <c r="O17" s="1420">
        <v>0</v>
      </c>
      <c r="P17" s="1420">
        <v>0</v>
      </c>
      <c r="Q17" s="1420">
        <v>0</v>
      </c>
      <c r="R17" s="1420">
        <v>0</v>
      </c>
      <c r="S17" s="1420">
        <v>0</v>
      </c>
      <c r="T17" s="1420">
        <v>0</v>
      </c>
      <c r="U17" s="1270">
        <v>0</v>
      </c>
      <c r="V17" s="1270">
        <v>0</v>
      </c>
      <c r="W17" s="1270">
        <v>0</v>
      </c>
      <c r="X17" s="1270">
        <v>0</v>
      </c>
      <c r="Y17" s="591">
        <v>0</v>
      </c>
      <c r="Z17" s="591">
        <v>0</v>
      </c>
      <c r="AA17" s="591">
        <v>0</v>
      </c>
      <c r="AB17" s="591">
        <v>0</v>
      </c>
      <c r="AC17" s="591">
        <v>0</v>
      </c>
      <c r="AD17" s="591">
        <v>0</v>
      </c>
      <c r="AE17" s="591">
        <v>0</v>
      </c>
      <c r="AF17" s="591">
        <v>0</v>
      </c>
      <c r="AG17" s="591">
        <v>0</v>
      </c>
      <c r="AH17" s="591">
        <v>0</v>
      </c>
      <c r="AI17" s="591">
        <v>0</v>
      </c>
      <c r="AJ17" s="591">
        <v>0</v>
      </c>
      <c r="AK17" s="591">
        <v>0</v>
      </c>
      <c r="AL17" s="591">
        <v>8</v>
      </c>
      <c r="AM17" s="590">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C9613E-BB45-1387-668B-50A10EB92952}" mc:Ignorable="x14ac xr xr2 xr3">
  <sheetPr>
    <tabColor rgb="FFCCCCFF"/>
  </sheetPr>
  <dimension ref="A1:AR206"/>
  <sheetViews>
    <sheetView showGridLines="0" zoomScale="70" workbookViewId="0">
      <pane xSplit="6" ySplit="12" topLeftCell="G79" activePane="bottomRight" state="frozen"/>
      <selection pane="bottomLeft" activeCell="A13" sqref="A13"/>
      <selection pane="topRight" activeCell="G1" sqref="G1"/>
      <selection pane="bottomRight" activeCell="L142" sqref="L142:L144"/>
    </sheetView>
  </sheetViews>
  <sheetFormatPr defaultColWidth="9.140625" customHeight="1" defaultRowHeight="11.25"/>
  <cols>
    <col min="1" max="2" style="1631" width="3.7109375" hidden="1" customWidth="1"/>
    <col min="3" max="3" style="1860" width="3.00390625" customWidth="1"/>
    <col min="4" max="4" style="1860" width="6.00390625" customWidth="1"/>
    <col min="5" max="5" style="1860" width="42.00390625" customWidth="1"/>
    <col min="6" max="6" style="1860" width="15.00390625" customWidth="1"/>
    <col min="7" max="7" style="1860" width="42.00390625" customWidth="1"/>
    <col min="8" max="8" style="1860" width="3.00390625" customWidth="1"/>
    <col min="9" max="9" style="1860" width="5.00390625" customWidth="1"/>
    <col min="10" max="10" style="1860" width="47.00390625" customWidth="1"/>
    <col min="11" max="12" style="1860" width="3.00390625" customWidth="1"/>
    <col min="13" max="13" style="1860" width="5.00390625" customWidth="1"/>
    <col min="14" max="14" style="1860" width="28.00390625" customWidth="1"/>
    <col min="15" max="16" style="1860" width="3.00390625" customWidth="1"/>
    <col min="17" max="17" style="1860" width="5.00390625" customWidth="1"/>
    <col min="18" max="18" style="1860" width="34.00390625" customWidth="1"/>
    <col min="19" max="20" style="1860" width="3.7109375" hidden="1" customWidth="1"/>
    <col min="21" max="21" style="1860" width="5.7109375" hidden="1" customWidth="1"/>
    <col min="22" max="22" style="1860" width="34.421875" hidden="1" customWidth="1"/>
    <col min="23" max="23" style="1860" width="30.00390625" customWidth="1"/>
    <col min="24" max="24" style="1860" width="3.00390625" customWidth="1"/>
    <col min="25" max="28" style="1273" width="9.8515625" hidden="1" customWidth="1"/>
    <col min="29" max="29" style="1273" width="27.00390625" hidden="1" customWidth="1"/>
    <col min="30" max="30" style="1273" width="10.57421875" hidden="1" customWidth="1"/>
    <col min="31" max="31" style="1273" width="10.7109375" hidden="1" customWidth="1"/>
    <col min="32" max="32" style="1273" width="10.00390625" hidden="1" customWidth="1"/>
    <col min="33" max="33" style="1273" width="12.8515625" hidden="1" customWidth="1"/>
    <col min="34" max="34" style="1273" width="24.421875" hidden="1" customWidth="1"/>
    <col min="35" max="35" style="1273" width="15.8515625" hidden="1" customWidth="1"/>
    <col min="36" max="36" style="1273" width="19.421875" hidden="1" customWidth="1"/>
    <col min="37" max="37" style="1273" width="11.00390625" hidden="1" customWidth="1"/>
    <col min="38" max="38" style="1273" width="23.57421875" hidden="1" customWidth="1"/>
    <col min="39" max="39" style="1273" width="23.8515625" hidden="1" customWidth="1"/>
    <col min="40" max="40" style="1273" width="25.28125" hidden="1" customWidth="1"/>
    <col min="41" max="41" style="1273" width="16.8515625" hidden="1" customWidth="1"/>
    <col min="42" max="42" style="1273" width="29.57421875" hidden="1" customWidth="1"/>
    <col min="43" max="43" style="1273" width="29.8515625" hidden="1" customWidth="1"/>
    <col min="44" max="44" style="1860" width="9.140625" hidden="1"/>
  </cols>
  <sheetData>
    <row customHeight="1" ht="11.25" hidden="1">
      <c r="A1" s="163"/>
      <c r="AR1" s="111" t="s">
        <v>14</v>
      </c>
    </row>
    <row customHeight="1" ht="11.25" hidden="1">
      <c r="AR2" s="111">
        <v>0</v>
      </c>
    </row>
    <row customHeight="1" ht="11.25" hidden="1">
      <c r="AR3" s="111">
        <v>0</v>
      </c>
    </row>
    <row customHeight="1" ht="3">
      <c r="AR4" s="111">
        <v>3</v>
      </c>
    </row>
    <row s="596" customFormat="1" customHeight="1" ht="30.45">
      <c r="A5" s="161"/>
      <c r="B5" s="161"/>
      <c r="D5" s="2164"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65"/>
      <c r="F5" s="2165"/>
      <c r="G5" s="2165"/>
      <c r="H5" s="2165"/>
      <c r="I5" s="2165"/>
      <c r="J5" s="2166"/>
      <c r="K5" s="272"/>
      <c r="L5" s="149"/>
      <c r="M5" s="149"/>
      <c r="N5" s="149"/>
      <c r="O5" s="149"/>
      <c r="P5" s="149"/>
      <c r="Q5" s="149"/>
      <c r="R5" s="149"/>
      <c r="S5" s="297"/>
      <c r="T5" s="297"/>
      <c r="U5" s="297"/>
      <c r="V5" s="297"/>
      <c r="W5" s="149"/>
      <c r="Y5" s="1267"/>
      <c r="Z5" s="1267"/>
      <c r="AA5" s="1267"/>
      <c r="AB5" s="1267"/>
      <c r="AC5" s="1267"/>
      <c r="AD5" s="1267"/>
      <c r="AE5" s="1267"/>
      <c r="AF5" s="1267"/>
      <c r="AG5" s="1267"/>
      <c r="AH5" s="1267"/>
      <c r="AI5" s="1267"/>
      <c r="AJ5" s="1267"/>
      <c r="AK5" s="1267"/>
      <c r="AL5" s="1267"/>
      <c r="AM5" s="1267"/>
      <c r="AN5" s="1267"/>
      <c r="AO5" s="1267"/>
      <c r="AP5" s="1267"/>
      <c r="AQ5" s="1267"/>
      <c r="AR5" s="118">
        <v>29</v>
      </c>
    </row>
    <row s="596" customFormat="1" customHeight="1" ht="14.699999999999998">
      <c r="A6" s="592"/>
      <c r="B6" s="592"/>
      <c r="C6" s="592"/>
      <c r="D6" s="2170" t="str">
        <f>IF(org=0,"Не определено",org)</f>
        <v>ГУП "Белоблводоканал"</v>
      </c>
      <c r="E6" s="2170"/>
      <c r="F6" s="2170"/>
      <c r="G6" s="2170"/>
      <c r="H6" s="2170"/>
      <c r="I6" s="2170"/>
      <c r="J6" s="2170"/>
      <c r="K6" s="593"/>
      <c r="L6" s="593"/>
      <c r="M6" s="593"/>
      <c r="N6" s="593"/>
      <c r="O6" s="877"/>
      <c r="P6" s="877"/>
      <c r="Q6" s="877"/>
      <c r="R6" s="877"/>
      <c r="S6" s="877"/>
      <c r="T6" s="877"/>
      <c r="U6" s="877"/>
      <c r="V6" s="877"/>
      <c r="W6" s="877"/>
      <c r="X6" s="593"/>
      <c r="Y6" s="1268"/>
      <c r="Z6" s="1268"/>
      <c r="AA6" s="1268"/>
      <c r="AB6" s="1268"/>
      <c r="AC6" s="1268"/>
      <c r="AD6" s="1268"/>
      <c r="AE6" s="1268"/>
      <c r="AF6" s="1268"/>
      <c r="AG6" s="1268"/>
      <c r="AH6" s="1268"/>
      <c r="AI6" s="1268"/>
      <c r="AJ6" s="1268"/>
      <c r="AK6" s="1268"/>
      <c r="AL6" s="1268"/>
      <c r="AM6" s="1268"/>
      <c r="AN6" s="1268"/>
      <c r="AO6" s="1268"/>
      <c r="AP6" s="1268"/>
      <c r="AQ6" s="1268"/>
      <c r="AR6" s="594">
        <v>14</v>
      </c>
    </row>
    <row s="306" customFormat="1" customHeight="1" ht="11.549999999999999">
      <c r="A7" s="218"/>
      <c r="B7" s="218"/>
      <c r="D7" s="2167"/>
      <c r="E7" s="2168"/>
      <c r="F7" s="2168"/>
      <c r="G7" s="2168"/>
      <c r="H7" s="2168"/>
      <c r="I7" s="2168"/>
      <c r="J7" s="2169"/>
      <c r="S7" s="306"/>
      <c r="T7" s="306"/>
      <c r="U7" s="306"/>
      <c r="V7" s="306"/>
      <c r="Y7" s="1269"/>
      <c r="Z7" s="1269"/>
      <c r="AA7" s="1269"/>
      <c r="AB7" s="1269"/>
      <c r="AC7" s="1269"/>
      <c r="AD7" s="1269"/>
      <c r="AE7" s="1269"/>
      <c r="AF7" s="1269"/>
      <c r="AG7" s="1269"/>
      <c r="AH7" s="1269"/>
      <c r="AI7" s="1269"/>
      <c r="AJ7" s="1269"/>
      <c r="AK7" s="1269"/>
      <c r="AL7" s="1269"/>
      <c r="AM7" s="1269"/>
      <c r="AN7" s="1269"/>
      <c r="AO7" s="1269"/>
      <c r="AP7" s="1269"/>
      <c r="AQ7" s="1269"/>
      <c r="AR7" s="283">
        <v>11</v>
      </c>
    </row>
    <row s="596" customFormat="1" customHeight="1" ht="1.05">
      <c r="A8" s="161"/>
      <c r="B8" s="161"/>
      <c r="D8" s="219"/>
      <c r="E8" s="219"/>
      <c r="F8" s="219"/>
      <c r="G8" s="219"/>
      <c r="H8" s="219"/>
      <c r="I8" s="219"/>
      <c r="J8" s="219"/>
      <c r="K8" s="219"/>
      <c r="L8" s="219"/>
      <c r="M8" s="219"/>
      <c r="N8" s="219"/>
      <c r="O8" s="219"/>
      <c r="P8" s="219"/>
      <c r="Q8" s="219"/>
      <c r="R8" s="219"/>
      <c r="S8" s="219"/>
      <c r="T8" s="219"/>
      <c r="U8" s="219"/>
      <c r="V8" s="219"/>
      <c r="W8" s="219"/>
      <c r="X8" s="139"/>
      <c r="Y8" s="1267"/>
      <c r="Z8" s="1267"/>
      <c r="AA8" s="1267"/>
      <c r="AB8" s="1267"/>
      <c r="AC8" s="1267"/>
      <c r="AD8" s="1267"/>
      <c r="AE8" s="1267"/>
      <c r="AF8" s="1267"/>
      <c r="AG8" s="1267"/>
      <c r="AH8" s="1267"/>
      <c r="AI8" s="1267"/>
      <c r="AJ8" s="1267"/>
      <c r="AK8" s="1267"/>
      <c r="AL8" s="1267"/>
      <c r="AM8" s="1267"/>
      <c r="AN8" s="1267"/>
      <c r="AO8" s="1267"/>
      <c r="AP8" s="1267"/>
      <c r="AQ8" s="1267"/>
      <c r="AR8" s="118">
        <v>1</v>
      </c>
    </row>
    <row customHeight="1" ht="28.5">
      <c r="D9" s="2134" t="s">
        <v>88</v>
      </c>
      <c r="E9" s="2108" t="s">
        <v>214</v>
      </c>
      <c r="F9" s="2110"/>
      <c r="G9" s="2134" t="s">
        <v>201</v>
      </c>
      <c r="H9" s="2134" t="s">
        <v>88</v>
      </c>
      <c r="I9" s="2134"/>
      <c r="J9" s="2134" t="s">
        <v>215</v>
      </c>
      <c r="K9" s="2162" t="s">
        <v>216</v>
      </c>
      <c r="L9" s="2162"/>
      <c r="M9" s="2162"/>
      <c r="N9" s="2162"/>
      <c r="O9" s="2162" t="s">
        <v>217</v>
      </c>
      <c r="P9" s="2162"/>
      <c r="Q9" s="2162"/>
      <c r="R9" s="2162"/>
      <c r="S9" s="2162" t="s">
        <v>218</v>
      </c>
      <c r="T9" s="2162"/>
      <c r="U9" s="2162"/>
      <c r="V9" s="2162"/>
      <c r="W9" s="2134" t="s">
        <v>219</v>
      </c>
      <c r="AR9" s="111">
        <v>27</v>
      </c>
    </row>
    <row customHeight="1" ht="31.5">
      <c r="D10" s="2134"/>
      <c r="E10" s="1291" t="s">
        <v>89</v>
      </c>
      <c r="F10" s="1291" t="s">
        <v>220</v>
      </c>
      <c r="G10" s="2134"/>
      <c r="H10" s="2134"/>
      <c r="I10" s="2134"/>
      <c r="J10" s="2134"/>
      <c r="K10" s="117" t="s">
        <v>204</v>
      </c>
      <c r="L10" s="2134" t="s">
        <v>88</v>
      </c>
      <c r="M10" s="2134"/>
      <c r="N10" s="117" t="s">
        <v>221</v>
      </c>
      <c r="O10" s="117" t="s">
        <v>204</v>
      </c>
      <c r="P10" s="2134" t="s">
        <v>88</v>
      </c>
      <c r="Q10" s="2134"/>
      <c r="R10" s="117" t="s">
        <v>221</v>
      </c>
      <c r="S10" s="290" t="s">
        <v>204</v>
      </c>
      <c r="T10" s="2134" t="s">
        <v>88</v>
      </c>
      <c r="U10" s="2134"/>
      <c r="V10" s="290" t="s">
        <v>89</v>
      </c>
      <c r="W10" s="2134"/>
      <c r="Z10" s="1266" t="s">
        <v>222</v>
      </c>
      <c r="AA10" s="1266" t="s">
        <v>223</v>
      </c>
      <c r="AB10" s="1266" t="s">
        <v>224</v>
      </c>
      <c r="AC10" s="1266" t="s">
        <v>225</v>
      </c>
      <c r="AD10" s="1266" t="s">
        <v>226</v>
      </c>
      <c r="AE10" s="1266" t="s">
        <v>227</v>
      </c>
      <c r="AF10" s="1266" t="s">
        <v>228</v>
      </c>
      <c r="AG10" s="1266" t="s">
        <v>229</v>
      </c>
      <c r="AH10" s="1266" t="s">
        <v>230</v>
      </c>
      <c r="AI10" s="1266" t="s">
        <v>231</v>
      </c>
      <c r="AJ10" s="1266" t="s">
        <v>232</v>
      </c>
      <c r="AK10" s="1266" t="s">
        <v>233</v>
      </c>
      <c r="AL10" s="1266" t="s">
        <v>234</v>
      </c>
      <c r="AM10" s="1266" t="s">
        <v>235</v>
      </c>
      <c r="AN10" s="1266" t="s">
        <v>236</v>
      </c>
      <c r="AO10" s="1266" t="s">
        <v>237</v>
      </c>
      <c r="AP10" s="1266" t="s">
        <v>238</v>
      </c>
      <c r="AQ10" s="1266" t="s">
        <v>239</v>
      </c>
      <c r="AR10" s="111">
        <v>30</v>
      </c>
    </row>
    <row s="1631" customFormat="1" customHeight="1" ht="12" hidden="1">
      <c r="D11" s="1256" t="s">
        <v>108</v>
      </c>
      <c r="E11" s="1256" t="s">
        <v>99</v>
      </c>
      <c r="F11" s="1256"/>
      <c r="G11" s="1256" t="s">
        <v>90</v>
      </c>
      <c r="H11" s="2163" t="s">
        <v>119</v>
      </c>
      <c r="I11" s="2163"/>
      <c r="J11" s="1256" t="s">
        <v>92</v>
      </c>
      <c r="K11" s="1256" t="s">
        <v>93</v>
      </c>
      <c r="L11" s="2163" t="s">
        <v>132</v>
      </c>
      <c r="M11" s="2163"/>
      <c r="N11" s="1256" t="s">
        <v>137</v>
      </c>
      <c r="O11" s="1256" t="s">
        <v>142</v>
      </c>
      <c r="P11" s="2163" t="s">
        <v>147</v>
      </c>
      <c r="Q11" s="2163"/>
      <c r="R11" s="1256" t="s">
        <v>152</v>
      </c>
      <c r="S11" s="1256" t="s">
        <v>147</v>
      </c>
      <c r="T11" s="2163" t="s">
        <v>152</v>
      </c>
      <c r="U11" s="2163"/>
      <c r="V11" s="1256" t="s">
        <v>157</v>
      </c>
      <c r="W11" s="1256" t="s">
        <v>162</v>
      </c>
      <c r="Y11" s="1266"/>
      <c r="Z11" s="1266"/>
      <c r="AA11" s="1266"/>
      <c r="AB11" s="1266"/>
      <c r="AC11" s="1266"/>
      <c r="AD11" s="1266"/>
      <c r="AE11" s="1266"/>
      <c r="AF11" s="1266"/>
      <c r="AG11" s="1266"/>
      <c r="AH11" s="1266"/>
      <c r="AI11" s="1266"/>
      <c r="AJ11" s="1266"/>
      <c r="AK11" s="1266"/>
      <c r="AL11" s="1266"/>
      <c r="AM11" s="1266"/>
      <c r="AN11" s="1266"/>
      <c r="AO11" s="1266"/>
      <c r="AP11" s="1266"/>
      <c r="AQ11" s="1266"/>
      <c r="AR11" s="284">
        <v>0</v>
      </c>
    </row>
    <row customHeight="1" ht="14.25" hidden="1">
      <c r="C12" s="216"/>
      <c r="D12" s="1289">
        <v>0</v>
      </c>
      <c r="E12" s="257"/>
      <c r="F12" s="257"/>
      <c r="G12" s="257"/>
      <c r="H12" s="258"/>
      <c r="I12" s="258"/>
      <c r="J12" s="165"/>
      <c r="K12" s="119"/>
      <c r="L12" s="165"/>
      <c r="M12" s="165"/>
      <c r="N12" s="259"/>
      <c r="O12" s="119"/>
      <c r="P12" s="165"/>
      <c r="Q12" s="165"/>
      <c r="R12" s="260"/>
      <c r="S12" s="291"/>
      <c r="T12" s="299"/>
      <c r="U12" s="299"/>
      <c r="V12" s="303"/>
      <c r="W12" s="119"/>
      <c r="X12" s="148"/>
      <c r="AR12" s="111">
        <v>0</v>
      </c>
    </row>
    <row s="1860" customFormat="1" customHeight="1" ht="17.25" hidden="1">
      <c r="A13" s="328"/>
      <c r="C13" s="216"/>
      <c r="D13" s="2142">
        <v>1</v>
      </c>
      <c r="E13" s="2150" t="s">
        <v>240</v>
      </c>
      <c r="F13" s="2152" t="s">
        <v>19</v>
      </c>
      <c r="G13" s="2150"/>
      <c r="H13" s="2155"/>
      <c r="I13" s="2157"/>
      <c r="J13" s="2159"/>
      <c r="K13" s="2144"/>
      <c r="L13" s="2144"/>
      <c r="M13" s="2144"/>
      <c r="N13" s="2146"/>
      <c r="O13" s="2144"/>
      <c r="P13" s="2144"/>
      <c r="Q13" s="2144"/>
      <c r="R13" s="2149"/>
      <c r="S13" s="2144"/>
      <c r="T13" s="1427"/>
      <c r="U13" s="1427"/>
      <c r="V13" s="1426"/>
      <c r="W13" s="1303"/>
      <c r="Y13" s="1274"/>
      <c r="Z13" s="1274"/>
      <c r="AA13" s="1274"/>
      <c r="AB13" s="1274"/>
      <c r="AC13" s="1274" t="s">
        <v>241</v>
      </c>
      <c r="AD13" s="1274" t="s">
        <v>242</v>
      </c>
      <c r="AE13" s="1274" t="s">
        <v>243</v>
      </c>
      <c r="AF13" s="1274" t="s">
        <v>244</v>
      </c>
      <c r="AG13" s="1274" t="s">
        <v>245</v>
      </c>
      <c r="AH13" s="1274"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74" t="str">
        <f>IF($G$13=0,"",$G$13)</f>
        <v/>
      </c>
      <c r="AJ13" s="1274" t="str">
        <f>IF($J$13=0,"",$J$13)</f>
        <v/>
      </c>
      <c r="AK13" s="1274" t="str">
        <f>IF($K$13="нет","без дифференциации",IF($N$13=0,"",$N$13))</f>
        <v/>
      </c>
      <c r="AL13" s="1274" t="str">
        <f>IF($O$13="нет","без дифференциации",IF($R$13=0,"",$R$13))</f>
        <v/>
      </c>
      <c r="AM13" s="1274" t="str">
        <f>IF($S$13="нет","без дифференциации",IF($V$13=0,"",$V$13))</f>
        <v/>
      </c>
      <c r="AN13" s="1274">
        <f>$I$13</f>
        <v>0</v>
      </c>
      <c r="AO13" s="1274" t="str">
        <f>$I$13&amp;"."&amp;$M$13</f>
        <v>.</v>
      </c>
      <c r="AP13" s="1274" t="str">
        <f>$I$13&amp;"."&amp;$M$13&amp;"."&amp;$Q$13</f>
        <v>..</v>
      </c>
      <c r="AQ13" s="1274" t="str">
        <f>$I$13&amp;"."&amp;$M$13&amp;"."&amp;$Q$13&amp;"."&amp;$U$13</f>
        <v>...</v>
      </c>
      <c r="AR13" s="757">
        <v>0</v>
      </c>
    </row>
    <row s="1860" customFormat="1" customHeight="1" ht="17.25" hidden="1">
      <c r="A14" s="328"/>
      <c r="C14" s="327"/>
      <c r="D14" s="2142"/>
      <c r="E14" s="2150"/>
      <c r="F14" s="2153"/>
      <c r="G14" s="2150"/>
      <c r="H14" s="2156"/>
      <c r="I14" s="2158"/>
      <c r="J14" s="2160"/>
      <c r="K14" s="2145"/>
      <c r="L14" s="2145"/>
      <c r="M14" s="2145"/>
      <c r="N14" s="2147"/>
      <c r="O14" s="2145"/>
      <c r="P14" s="2145"/>
      <c r="Q14" s="2145"/>
      <c r="R14" s="2148"/>
      <c r="S14" s="2145"/>
      <c r="T14" s="1304"/>
      <c r="U14" s="1304"/>
      <c r="V14" s="1304"/>
      <c r="W14" s="1305"/>
      <c r="Y14" s="1266"/>
      <c r="Z14" s="1266"/>
      <c r="AA14" s="1266"/>
      <c r="AB14" s="1266"/>
      <c r="AC14" s="1266"/>
      <c r="AD14" s="1266"/>
      <c r="AE14" s="1266"/>
      <c r="AF14" s="1266"/>
      <c r="AG14" s="1266"/>
      <c r="AH14" s="1266"/>
      <c r="AI14" s="1266"/>
      <c r="AJ14" s="1266"/>
      <c r="AK14" s="1266"/>
      <c r="AL14" s="1266"/>
      <c r="AM14" s="1266"/>
      <c r="AN14" s="1266"/>
      <c r="AO14" s="1266"/>
      <c r="AP14" s="1266"/>
      <c r="AQ14" s="1266"/>
      <c r="AR14" s="757">
        <v>0</v>
      </c>
    </row>
    <row s="1860" customFormat="1" customHeight="1" ht="17.25" hidden="1">
      <c r="A15" s="328"/>
      <c r="C15" s="216"/>
      <c r="D15" s="2142"/>
      <c r="E15" s="2150"/>
      <c r="F15" s="2153"/>
      <c r="G15" s="2150"/>
      <c r="H15" s="2156"/>
      <c r="I15" s="2158"/>
      <c r="J15" s="2161"/>
      <c r="K15" s="2145"/>
      <c r="L15" s="2145"/>
      <c r="M15" s="2145"/>
      <c r="N15" s="2148"/>
      <c r="O15" s="2145"/>
      <c r="P15" s="1425"/>
      <c r="Q15" s="1304"/>
      <c r="R15" s="1304"/>
      <c r="S15" s="336"/>
      <c r="T15" s="336"/>
      <c r="U15" s="336"/>
      <c r="V15" s="336"/>
      <c r="W15" s="1305"/>
      <c r="Y15" s="1274"/>
      <c r="Z15" s="1274"/>
      <c r="AA15" s="1274"/>
      <c r="AB15" s="1274"/>
      <c r="AC15" s="1274"/>
      <c r="AD15" s="1274"/>
      <c r="AE15" s="1274"/>
      <c r="AF15" s="1274"/>
      <c r="AG15" s="1274"/>
      <c r="AH15" s="1274"/>
      <c r="AI15" s="1274"/>
      <c r="AJ15" s="1274"/>
      <c r="AK15" s="1274"/>
      <c r="AL15" s="1274"/>
      <c r="AM15" s="1274"/>
      <c r="AN15" s="1274"/>
      <c r="AO15" s="1274"/>
      <c r="AP15" s="1274"/>
      <c r="AQ15" s="1274"/>
      <c r="AR15" s="1424">
        <v>0</v>
      </c>
    </row>
    <row s="1860" customFormat="1" customHeight="1" ht="17.25" hidden="1">
      <c r="A16" s="328"/>
      <c r="C16" s="327"/>
      <c r="D16" s="2142"/>
      <c r="E16" s="2150"/>
      <c r="F16" s="2153"/>
      <c r="G16" s="2150"/>
      <c r="H16" s="2156"/>
      <c r="I16" s="2158"/>
      <c r="J16" s="2161"/>
      <c r="K16" s="2145"/>
      <c r="L16" s="1304"/>
      <c r="M16" s="1304"/>
      <c r="N16" s="1304"/>
      <c r="O16" s="1304"/>
      <c r="P16" s="1304"/>
      <c r="Q16" s="1304"/>
      <c r="R16" s="1304"/>
      <c r="S16" s="336"/>
      <c r="T16" s="336"/>
      <c r="U16" s="336"/>
      <c r="V16" s="336"/>
      <c r="W16" s="1305"/>
      <c r="Y16" s="1266"/>
      <c r="Z16" s="1266"/>
      <c r="AA16" s="1266"/>
      <c r="AB16" s="1266"/>
      <c r="AC16" s="1266"/>
      <c r="AD16" s="1266"/>
      <c r="AE16" s="1266"/>
      <c r="AF16" s="1266"/>
      <c r="AG16" s="1266"/>
      <c r="AH16" s="1266"/>
      <c r="AI16" s="1266"/>
      <c r="AJ16" s="1266"/>
      <c r="AK16" s="1266"/>
      <c r="AL16" s="1266"/>
      <c r="AM16" s="1266"/>
      <c r="AN16" s="1266"/>
      <c r="AO16" s="1266"/>
      <c r="AP16" s="1266"/>
      <c r="AQ16" s="1266"/>
      <c r="AR16" s="1424">
        <v>0</v>
      </c>
    </row>
    <row s="1860" customFormat="1" customHeight="1" ht="17.25" hidden="1">
      <c r="A17" s="328"/>
      <c r="C17" s="327"/>
      <c r="D17" s="2143"/>
      <c r="E17" s="2151"/>
      <c r="F17" s="2154"/>
      <c r="G17" s="2151"/>
      <c r="H17" s="1306"/>
      <c r="I17" s="1307"/>
      <c r="J17" s="1307"/>
      <c r="K17" s="1307"/>
      <c r="L17" s="1307"/>
      <c r="M17" s="1307"/>
      <c r="N17" s="1307"/>
      <c r="O17" s="1307"/>
      <c r="P17" s="1307"/>
      <c r="Q17" s="1307"/>
      <c r="R17" s="1307"/>
      <c r="S17" s="1308"/>
      <c r="T17" s="1308"/>
      <c r="U17" s="1308"/>
      <c r="V17" s="1308"/>
      <c r="W17" s="1309"/>
      <c r="Y17" s="1266"/>
      <c r="Z17" s="1266"/>
      <c r="AA17" s="1266"/>
      <c r="AB17" s="1266"/>
      <c r="AC17" s="1266"/>
      <c r="AD17" s="1266"/>
      <c r="AE17" s="1266"/>
      <c r="AF17" s="1266"/>
      <c r="AG17" s="1266"/>
      <c r="AH17" s="1266"/>
      <c r="AI17" s="1266"/>
      <c r="AJ17" s="1266"/>
      <c r="AK17" s="1266"/>
      <c r="AL17" s="1266"/>
      <c r="AM17" s="1266"/>
      <c r="AN17" s="1266"/>
      <c r="AO17" s="1266"/>
      <c r="AP17" s="1266"/>
      <c r="AQ17" s="1266"/>
      <c r="AR17" s="757">
        <v>0</v>
      </c>
    </row>
    <row s="1860" customFormat="1" customHeight="1" ht="17.25" hidden="1">
      <c r="A18" s="328"/>
      <c r="C18" s="216"/>
      <c r="D18" s="2142">
        <v>2</v>
      </c>
      <c r="E18" s="2171"/>
      <c r="F18" s="2152" t="s">
        <v>19</v>
      </c>
      <c r="G18" s="2150"/>
      <c r="H18" s="2155"/>
      <c r="I18" s="2157"/>
      <c r="J18" s="2159"/>
      <c r="K18" s="2144"/>
      <c r="L18" s="2144"/>
      <c r="M18" s="2144"/>
      <c r="N18" s="2146"/>
      <c r="O18" s="2144"/>
      <c r="P18" s="2144"/>
      <c r="Q18" s="2144"/>
      <c r="R18" s="2149"/>
      <c r="S18" s="2144"/>
      <c r="T18" s="1427"/>
      <c r="U18" s="1427"/>
      <c r="V18" s="1426"/>
      <c r="W18" s="1303"/>
      <c r="X18" s="1274"/>
      <c r="Y18" s="1274"/>
      <c r="Z18" s="1274"/>
      <c r="AA18" s="1274"/>
      <c r="AB18" s="1274"/>
      <c r="AC18" s="1274" t="s">
        <v>246</v>
      </c>
      <c r="AD18" s="1274" t="s">
        <v>247</v>
      </c>
      <c r="AE18" s="1274" t="s">
        <v>248</v>
      </c>
      <c r="AF18" s="1274" t="s">
        <v>249</v>
      </c>
      <c r="AG18" s="1274" t="s">
        <v>250</v>
      </c>
      <c r="AH18" s="1274" t="str">
        <f>IF($E$18=0,"",$E$18)</f>
        <v/>
      </c>
      <c r="AI18" s="1274" t="str">
        <f>IF($G$18=0,"",$G$18)</f>
        <v/>
      </c>
      <c r="AJ18" s="1274" t="str">
        <f>IF($J$18=0,"",$J$18)</f>
        <v/>
      </c>
      <c r="AK18" s="1274" t="str">
        <f>IF($K$18="нет","без дифференциации",IF($N$18=0,"",$N$18))</f>
        <v/>
      </c>
      <c r="AL18" s="1274" t="str">
        <f>IF($O$18="нет","без дифференциации",IF($R$18=0,"",$R$18))</f>
        <v/>
      </c>
      <c r="AM18" s="1274" t="str">
        <f>IF($S$18="нет","без дифференциации",IF($V$18=0,"",$V$18))</f>
        <v/>
      </c>
      <c r="AN18" s="1779">
        <f>$I$18</f>
        <v>0</v>
      </c>
      <c r="AO18" s="1274" t="str">
        <f>$I$18&amp;"."&amp;$M$18</f>
        <v>.</v>
      </c>
      <c r="AP18" s="1266" t="str">
        <f>$I$18&amp;"."&amp;$M$18&amp;"."&amp;$Q$18</f>
        <v>..</v>
      </c>
      <c r="AQ18" s="1266" t="str">
        <f>$I$18&amp;"."&amp;$M$18&amp;"."&amp;$Q$18&amp;"."&amp;$U$18</f>
        <v>...</v>
      </c>
      <c r="AR18" s="1290">
        <v>0</v>
      </c>
    </row>
    <row s="1860" customFormat="1" customHeight="1" ht="17.25" hidden="1">
      <c r="A19" s="328"/>
      <c r="C19" s="327"/>
      <c r="D19" s="2142"/>
      <c r="E19" s="2171"/>
      <c r="F19" s="2153"/>
      <c r="G19" s="2150"/>
      <c r="H19" s="2156"/>
      <c r="I19" s="2158"/>
      <c r="J19" s="2160"/>
      <c r="K19" s="2145"/>
      <c r="L19" s="2145"/>
      <c r="M19" s="2145"/>
      <c r="N19" s="2147"/>
      <c r="O19" s="2145"/>
      <c r="P19" s="2145"/>
      <c r="Q19" s="2145"/>
      <c r="R19" s="2148"/>
      <c r="S19" s="2145"/>
      <c r="T19" s="1304"/>
      <c r="U19" s="1304"/>
      <c r="V19" s="1304"/>
      <c r="W19" s="1305"/>
      <c r="X19" s="1266"/>
      <c r="Y19" s="1266"/>
      <c r="Z19" s="1266"/>
      <c r="AA19" s="1266"/>
      <c r="AB19" s="1266"/>
      <c r="AC19" s="1266"/>
      <c r="AD19" s="1266"/>
      <c r="AE19" s="1266"/>
      <c r="AF19" s="1266"/>
      <c r="AG19" s="1266"/>
      <c r="AH19" s="1266"/>
      <c r="AI19" s="1266"/>
      <c r="AJ19" s="1266"/>
      <c r="AK19" s="1266"/>
      <c r="AL19" s="1266"/>
      <c r="AM19" s="1266"/>
      <c r="AN19" s="1266"/>
      <c r="AO19" s="1266"/>
      <c r="AP19" s="1266"/>
      <c r="AQ19" s="1266"/>
      <c r="AR19" s="1290">
        <v>0</v>
      </c>
    </row>
    <row s="1860" customFormat="1" customHeight="1" ht="17.25" hidden="1">
      <c r="A20" s="328"/>
      <c r="C20" s="327"/>
      <c r="D20" s="2143"/>
      <c r="E20" s="2172"/>
      <c r="F20" s="2153"/>
      <c r="G20" s="2151"/>
      <c r="H20" s="2156"/>
      <c r="I20" s="2158"/>
      <c r="J20" s="2161"/>
      <c r="K20" s="2145"/>
      <c r="L20" s="2145"/>
      <c r="M20" s="2145"/>
      <c r="N20" s="2148"/>
      <c r="O20" s="2145"/>
      <c r="P20" s="1425"/>
      <c r="Q20" s="1304"/>
      <c r="R20" s="1304"/>
      <c r="S20" s="336"/>
      <c r="T20" s="336"/>
      <c r="U20" s="336"/>
      <c r="V20" s="336"/>
      <c r="W20" s="1305"/>
      <c r="X20" s="1266"/>
      <c r="Y20" s="1266"/>
      <c r="Z20" s="1266"/>
      <c r="AA20" s="1266"/>
      <c r="AB20" s="1266"/>
      <c r="AC20" s="1266"/>
      <c r="AD20" s="1266"/>
      <c r="AE20" s="1266"/>
      <c r="AF20" s="1266"/>
      <c r="AG20" s="1266"/>
      <c r="AH20" s="1266"/>
      <c r="AI20" s="1266"/>
      <c r="AJ20" s="1266"/>
      <c r="AK20" s="1266"/>
      <c r="AL20" s="1266"/>
      <c r="AM20" s="1266"/>
      <c r="AN20" s="1266"/>
      <c r="AO20" s="1266"/>
      <c r="AP20" s="1266"/>
      <c r="AQ20" s="1266"/>
      <c r="AR20" s="1290">
        <v>0</v>
      </c>
    </row>
    <row s="1860" customFormat="1" customHeight="1" ht="17.25" hidden="1">
      <c r="A21" s="328"/>
      <c r="C21" s="327"/>
      <c r="D21" s="2143"/>
      <c r="E21" s="2172"/>
      <c r="F21" s="2153"/>
      <c r="G21" s="2151"/>
      <c r="H21" s="2156"/>
      <c r="I21" s="2158"/>
      <c r="J21" s="2161"/>
      <c r="K21" s="2145"/>
      <c r="L21" s="1304"/>
      <c r="M21" s="1304"/>
      <c r="N21" s="1304"/>
      <c r="O21" s="1304"/>
      <c r="P21" s="1304"/>
      <c r="Q21" s="1304"/>
      <c r="R21" s="1304"/>
      <c r="S21" s="336"/>
      <c r="T21" s="336"/>
      <c r="U21" s="336"/>
      <c r="V21" s="336"/>
      <c r="W21" s="1305"/>
      <c r="X21" s="1266"/>
      <c r="Y21" s="1266"/>
      <c r="Z21" s="1266"/>
      <c r="AA21" s="1266"/>
      <c r="AB21" s="1266"/>
      <c r="AC21" s="1266"/>
      <c r="AD21" s="1266"/>
      <c r="AE21" s="1266"/>
      <c r="AF21" s="1266"/>
      <c r="AG21" s="1266"/>
      <c r="AH21" s="1266"/>
      <c r="AI21" s="1266"/>
      <c r="AJ21" s="1266"/>
      <c r="AK21" s="1266"/>
      <c r="AL21" s="1266"/>
      <c r="AM21" s="1266"/>
      <c r="AN21" s="1266"/>
      <c r="AO21" s="1266"/>
      <c r="AP21" s="1266"/>
      <c r="AQ21" s="1266"/>
      <c r="AR21" s="1290">
        <v>0</v>
      </c>
    </row>
    <row s="1860" customFormat="1" customHeight="1" ht="17.25" hidden="1">
      <c r="A22" s="328"/>
      <c r="C22" s="327"/>
      <c r="D22" s="2143"/>
      <c r="E22" s="2172"/>
      <c r="F22" s="2154"/>
      <c r="G22" s="2151"/>
      <c r="H22" s="1306"/>
      <c r="I22" s="1307"/>
      <c r="J22" s="1307"/>
      <c r="K22" s="1307"/>
      <c r="L22" s="1307"/>
      <c r="M22" s="1307"/>
      <c r="N22" s="1307"/>
      <c r="O22" s="1307"/>
      <c r="P22" s="1307"/>
      <c r="Q22" s="1307"/>
      <c r="R22" s="1307"/>
      <c r="S22" s="1308"/>
      <c r="T22" s="1308"/>
      <c r="U22" s="1308"/>
      <c r="V22" s="1308"/>
      <c r="W22" s="1309"/>
      <c r="X22" s="1266"/>
      <c r="Y22" s="1266"/>
      <c r="Z22" s="1266"/>
      <c r="AA22" s="1266"/>
      <c r="AB22" s="1266"/>
      <c r="AC22" s="1266"/>
      <c r="AD22" s="1266"/>
      <c r="AE22" s="1266"/>
      <c r="AF22" s="1266"/>
      <c r="AG22" s="1266"/>
      <c r="AH22" s="1266"/>
      <c r="AI22" s="1266"/>
      <c r="AJ22" s="1266"/>
      <c r="AK22" s="1266"/>
      <c r="AL22" s="1266"/>
      <c r="AM22" s="1266"/>
      <c r="AN22" s="1266"/>
      <c r="AO22" s="1266"/>
      <c r="AP22" s="1266"/>
      <c r="AQ22" s="1266"/>
      <c r="AR22" s="1290">
        <v>0</v>
      </c>
    </row>
    <row s="1860" customFormat="1" customHeight="1" ht="17.25" hidden="1">
      <c r="A23" s="328"/>
      <c r="C23" s="216"/>
      <c r="D23" s="2142">
        <v>2</v>
      </c>
      <c r="E23" s="2150" t="s">
        <v>251</v>
      </c>
      <c r="F23" s="2152" t="s">
        <v>19</v>
      </c>
      <c r="G23" s="2150"/>
      <c r="H23" s="2155"/>
      <c r="I23" s="2157"/>
      <c r="J23" s="2159"/>
      <c r="K23" s="2144"/>
      <c r="L23" s="2144"/>
      <c r="M23" s="2144"/>
      <c r="N23" s="2146"/>
      <c r="O23" s="2144"/>
      <c r="P23" s="2144"/>
      <c r="Q23" s="2144"/>
      <c r="R23" s="2149"/>
      <c r="S23" s="2144"/>
      <c r="T23" s="2005"/>
      <c r="U23" s="2005"/>
      <c r="V23" s="2007"/>
      <c r="W23" s="1303"/>
      <c r="X23" s="1274"/>
      <c r="Y23" s="1274"/>
      <c r="Z23" s="1274"/>
      <c r="AA23" s="1274"/>
      <c r="AB23" s="1274"/>
      <c r="AC23" s="1274" t="s">
        <v>246</v>
      </c>
      <c r="AD23" s="1274" t="s">
        <v>247</v>
      </c>
      <c r="AE23" s="1274" t="s">
        <v>248</v>
      </c>
      <c r="AF23" s="1274" t="s">
        <v>249</v>
      </c>
      <c r="AG23" s="1274" t="s">
        <v>250</v>
      </c>
      <c r="AH23" s="1274" t="str">
        <f>IF($E$23=0,"",$E$23)</f>
        <v>Тарифы на тепловую энергию (мощность), поставляемую теплоснабжающими организациями потребителям, другим теплоснабжающим организациям</v>
      </c>
      <c r="AI23" s="1274" t="str">
        <f>IF($G$23=0,"",$G$23)</f>
        <v/>
      </c>
      <c r="AJ23" s="1274" t="str">
        <f>IF($J$23=0,"",$J$23)</f>
        <v/>
      </c>
      <c r="AK23" s="1274" t="str">
        <f>IF($K$23="нет","без дифференциации",IF($N$23=0,"",$N$23))</f>
        <v/>
      </c>
      <c r="AL23" s="1274" t="str">
        <f>IF($O$23="нет","без дифференциации",IF($R$23=0,"",$R$23))</f>
        <v/>
      </c>
      <c r="AM23" s="1274" t="str">
        <f>IF($S$23="нет","без дифференциации",IF($V$23=0,"",$V$23))</f>
        <v/>
      </c>
      <c r="AN23" s="1779">
        <f>$I$23</f>
        <v>0</v>
      </c>
      <c r="AO23" s="1274" t="str">
        <f>$I$23&amp;"."&amp;$M$23</f>
        <v>.</v>
      </c>
      <c r="AP23" s="1273" t="str">
        <f>$I$23&amp;"."&amp;$M$23&amp;"."&amp;$Q$23</f>
        <v>..</v>
      </c>
      <c r="AQ23" s="1273" t="str">
        <f>$I$23&amp;"."&amp;$M$23&amp;"."&amp;$Q$23&amp;"."&amp;$U$23</f>
        <v>...</v>
      </c>
      <c r="AR23" s="1474">
        <v>0</v>
      </c>
    </row>
    <row s="1860" customFormat="1" customHeight="1" ht="17.25" hidden="1">
      <c r="A24" s="328"/>
      <c r="C24" s="327"/>
      <c r="D24" s="2142"/>
      <c r="E24" s="2150"/>
      <c r="F24" s="2153"/>
      <c r="G24" s="2150"/>
      <c r="H24" s="2156"/>
      <c r="I24" s="2158"/>
      <c r="J24" s="2160"/>
      <c r="K24" s="2145"/>
      <c r="L24" s="2145"/>
      <c r="M24" s="2145"/>
      <c r="N24" s="2147"/>
      <c r="O24" s="2145"/>
      <c r="P24" s="2145"/>
      <c r="Q24" s="2145"/>
      <c r="R24" s="2148"/>
      <c r="S24" s="2145"/>
      <c r="T24" s="2010"/>
      <c r="U24" s="2010"/>
      <c r="V24" s="2010"/>
      <c r="W24" s="2011"/>
      <c r="X24" s="1273"/>
      <c r="Y24" s="1273"/>
      <c r="Z24" s="1273"/>
      <c r="AA24" s="1273"/>
      <c r="AB24" s="1273"/>
      <c r="AC24" s="1273"/>
      <c r="AD24" s="1273"/>
      <c r="AE24" s="1273"/>
      <c r="AF24" s="1273"/>
      <c r="AG24" s="1273"/>
      <c r="AH24" s="1273"/>
      <c r="AI24" s="1273"/>
      <c r="AJ24" s="1273"/>
      <c r="AK24" s="1273"/>
      <c r="AL24" s="1273"/>
      <c r="AM24" s="1273"/>
      <c r="AN24" s="1273"/>
      <c r="AO24" s="1273"/>
      <c r="AP24" s="1273"/>
      <c r="AQ24" s="1273"/>
      <c r="AR24" s="1474">
        <v>0</v>
      </c>
    </row>
    <row s="1860" customFormat="1" customHeight="1" ht="17.25" hidden="1">
      <c r="A25" s="328"/>
      <c r="C25" s="327"/>
      <c r="D25" s="2143"/>
      <c r="E25" s="2151"/>
      <c r="F25" s="2153"/>
      <c r="G25" s="2151"/>
      <c r="H25" s="2156"/>
      <c r="I25" s="2158"/>
      <c r="J25" s="2161"/>
      <c r="K25" s="2145"/>
      <c r="L25" s="2145"/>
      <c r="M25" s="2145"/>
      <c r="N25" s="2148"/>
      <c r="O25" s="2145"/>
      <c r="P25" s="2006"/>
      <c r="Q25" s="2010"/>
      <c r="R25" s="2010"/>
      <c r="S25" s="336"/>
      <c r="T25" s="336"/>
      <c r="U25" s="336"/>
      <c r="V25" s="336"/>
      <c r="W25" s="2011"/>
      <c r="X25" s="1273"/>
      <c r="Y25" s="1273"/>
      <c r="Z25" s="1273"/>
      <c r="AA25" s="1273"/>
      <c r="AB25" s="1273"/>
      <c r="AC25" s="1273"/>
      <c r="AD25" s="1273"/>
      <c r="AE25" s="1273"/>
      <c r="AF25" s="1273"/>
      <c r="AG25" s="1273"/>
      <c r="AH25" s="1273"/>
      <c r="AI25" s="1273"/>
      <c r="AJ25" s="1273"/>
      <c r="AK25" s="1273"/>
      <c r="AL25" s="1273"/>
      <c r="AM25" s="1273"/>
      <c r="AN25" s="1273"/>
      <c r="AO25" s="1273"/>
      <c r="AP25" s="1273"/>
      <c r="AQ25" s="1273"/>
      <c r="AR25" s="1474">
        <v>0</v>
      </c>
    </row>
    <row s="1860" customFormat="1" customHeight="1" ht="17.25" hidden="1">
      <c r="A26" s="328"/>
      <c r="C26" s="327"/>
      <c r="D26" s="2143"/>
      <c r="E26" s="2151"/>
      <c r="F26" s="2153"/>
      <c r="G26" s="2151"/>
      <c r="H26" s="2156"/>
      <c r="I26" s="2158"/>
      <c r="J26" s="2161"/>
      <c r="K26" s="2145"/>
      <c r="L26" s="2010"/>
      <c r="M26" s="2010"/>
      <c r="N26" s="2010"/>
      <c r="O26" s="2010"/>
      <c r="P26" s="2010"/>
      <c r="Q26" s="2010"/>
      <c r="R26" s="2010"/>
      <c r="S26" s="336"/>
      <c r="T26" s="336"/>
      <c r="U26" s="336"/>
      <c r="V26" s="336"/>
      <c r="W26" s="2011"/>
      <c r="X26" s="1273"/>
      <c r="Y26" s="1273"/>
      <c r="Z26" s="1273"/>
      <c r="AA26" s="1273"/>
      <c r="AB26" s="1273"/>
      <c r="AC26" s="1273"/>
      <c r="AD26" s="1273"/>
      <c r="AE26" s="1273"/>
      <c r="AF26" s="1273"/>
      <c r="AG26" s="1273"/>
      <c r="AH26" s="1273"/>
      <c r="AI26" s="1273"/>
      <c r="AJ26" s="1273"/>
      <c r="AK26" s="1273"/>
      <c r="AL26" s="1273"/>
      <c r="AM26" s="1273"/>
      <c r="AN26" s="1273"/>
      <c r="AO26" s="1273"/>
      <c r="AP26" s="1273"/>
      <c r="AQ26" s="1273"/>
      <c r="AR26" s="1474">
        <v>0</v>
      </c>
    </row>
    <row s="1860" customFormat="1" customHeight="1" ht="17.25" hidden="1">
      <c r="A27" s="328"/>
      <c r="C27" s="327"/>
      <c r="D27" s="2143"/>
      <c r="E27" s="2151"/>
      <c r="F27" s="2154"/>
      <c r="G27" s="2151"/>
      <c r="H27" s="1306"/>
      <c r="I27" s="2008"/>
      <c r="J27" s="2008"/>
      <c r="K27" s="2008"/>
      <c r="L27" s="2008"/>
      <c r="M27" s="2008"/>
      <c r="N27" s="2008"/>
      <c r="O27" s="2008"/>
      <c r="P27" s="2008"/>
      <c r="Q27" s="2008"/>
      <c r="R27" s="2008"/>
      <c r="S27" s="1308"/>
      <c r="T27" s="1308"/>
      <c r="U27" s="1308"/>
      <c r="V27" s="1308"/>
      <c r="W27" s="2009"/>
      <c r="X27" s="1273"/>
      <c r="Y27" s="1273"/>
      <c r="Z27" s="1273"/>
      <c r="AA27" s="1273"/>
      <c r="AB27" s="1273"/>
      <c r="AC27" s="1273"/>
      <c r="AD27" s="1273"/>
      <c r="AE27" s="1273"/>
      <c r="AF27" s="1273"/>
      <c r="AG27" s="1273"/>
      <c r="AH27" s="1273"/>
      <c r="AI27" s="1273"/>
      <c r="AJ27" s="1273"/>
      <c r="AK27" s="1273"/>
      <c r="AL27" s="1273"/>
      <c r="AM27" s="1273"/>
      <c r="AN27" s="1273"/>
      <c r="AO27" s="1273"/>
      <c r="AP27" s="1273"/>
      <c r="AQ27" s="1273"/>
      <c r="AR27" s="1474">
        <v>0</v>
      </c>
    </row>
    <row s="1860" customFormat="1" customHeight="1" ht="17.25" hidden="1">
      <c r="A28" s="328"/>
      <c r="C28" s="216"/>
      <c r="D28" s="2142">
        <v>3</v>
      </c>
      <c r="E28" s="2150" t="s">
        <v>252</v>
      </c>
      <c r="F28" s="2152" t="s">
        <v>19</v>
      </c>
      <c r="G28" s="2150"/>
      <c r="H28" s="2155"/>
      <c r="I28" s="2157"/>
      <c r="J28" s="2159"/>
      <c r="K28" s="2144"/>
      <c r="L28" s="2144"/>
      <c r="M28" s="2144"/>
      <c r="N28" s="2146"/>
      <c r="O28" s="2144"/>
      <c r="P28" s="2144"/>
      <c r="Q28" s="2144"/>
      <c r="R28" s="2149"/>
      <c r="S28" s="2144"/>
      <c r="T28" s="1427"/>
      <c r="U28" s="1427"/>
      <c r="V28" s="1426"/>
      <c r="W28" s="1303"/>
      <c r="X28" s="1274"/>
      <c r="Y28" s="1274"/>
      <c r="Z28" s="1274"/>
      <c r="AA28" s="1274"/>
      <c r="AB28" s="1274"/>
      <c r="AC28" s="1274" t="s">
        <v>253</v>
      </c>
      <c r="AD28" s="1274" t="s">
        <v>254</v>
      </c>
      <c r="AE28" s="1274" t="s">
        <v>255</v>
      </c>
      <c r="AF28" s="1274" t="s">
        <v>256</v>
      </c>
      <c r="AG28" s="1274" t="s">
        <v>257</v>
      </c>
      <c r="AH28" s="1274" t="str">
        <f>IF($E$28=0,"",$E$28)</f>
        <v>Тарифы на теплоноситель, поставляемый теплоснабжающими организациями потребителям, другим теплоснабжающим организациям</v>
      </c>
      <c r="AI28" s="1274" t="str">
        <f>IF($G$28=0,"",$G$28)</f>
        <v/>
      </c>
      <c r="AJ28" s="1274" t="str">
        <f>IF($J$28=0,"",$J$28)</f>
        <v/>
      </c>
      <c r="AK28" s="1274" t="str">
        <f>IF($K$28="нет","без дифференциации",IF($N$28=0,"",$N$28))</f>
        <v/>
      </c>
      <c r="AL28" s="1274" t="str">
        <f>IF($O$28="нет","без дифференциации",IF($R$28=0,"",$R$28))</f>
        <v/>
      </c>
      <c r="AM28" s="1274" t="str">
        <f>IF($S$28="нет","без дифференциации",IF($V$28=0,"",$V$28))</f>
        <v/>
      </c>
      <c r="AN28" s="1779">
        <f>$I$28</f>
        <v>0</v>
      </c>
      <c r="AO28" s="1274" t="str">
        <f>$I$28&amp;"."&amp;$M$28</f>
        <v>.</v>
      </c>
      <c r="AP28" s="1266" t="str">
        <f>$I$28&amp;"."&amp;$M$28&amp;"."&amp;$Q$28</f>
        <v>..</v>
      </c>
      <c r="AQ28" s="1266" t="str">
        <f>$I$28&amp;"."&amp;$M$28&amp;"."&amp;$Q$28&amp;"."&amp;$U$28</f>
        <v>...</v>
      </c>
      <c r="AR28" s="1290">
        <v>0</v>
      </c>
    </row>
    <row s="1860" customFormat="1" customHeight="1" ht="17.25" hidden="1">
      <c r="A29" s="328"/>
      <c r="C29" s="327"/>
      <c r="D29" s="2142"/>
      <c r="E29" s="2150"/>
      <c r="F29" s="2153"/>
      <c r="G29" s="2150"/>
      <c r="H29" s="2156"/>
      <c r="I29" s="2158"/>
      <c r="J29" s="2160"/>
      <c r="K29" s="2145"/>
      <c r="L29" s="2145"/>
      <c r="M29" s="2145"/>
      <c r="N29" s="2147"/>
      <c r="O29" s="2145"/>
      <c r="P29" s="2145"/>
      <c r="Q29" s="2145"/>
      <c r="R29" s="2148"/>
      <c r="S29" s="2145"/>
      <c r="T29" s="1304"/>
      <c r="U29" s="1304"/>
      <c r="V29" s="1304"/>
      <c r="W29" s="1305"/>
      <c r="X29" s="1266"/>
      <c r="Y29" s="1266"/>
      <c r="Z29" s="1266"/>
      <c r="AA29" s="1266"/>
      <c r="AB29" s="1266"/>
      <c r="AC29" s="1266"/>
      <c r="AD29" s="1266"/>
      <c r="AE29" s="1266"/>
      <c r="AF29" s="1266"/>
      <c r="AG29" s="1266"/>
      <c r="AH29" s="1266"/>
      <c r="AI29" s="1266"/>
      <c r="AJ29" s="1266"/>
      <c r="AK29" s="1266"/>
      <c r="AL29" s="1266"/>
      <c r="AM29" s="1266"/>
      <c r="AN29" s="1266"/>
      <c r="AO29" s="1266"/>
      <c r="AP29" s="1266"/>
      <c r="AQ29" s="1266"/>
      <c r="AR29" s="1290">
        <v>0</v>
      </c>
    </row>
    <row s="1860" customFormat="1" customHeight="1" ht="17.25" hidden="1">
      <c r="A30" s="328"/>
      <c r="C30" s="327"/>
      <c r="D30" s="2143"/>
      <c r="E30" s="2151"/>
      <c r="F30" s="2153"/>
      <c r="G30" s="2151"/>
      <c r="H30" s="2156"/>
      <c r="I30" s="2158"/>
      <c r="J30" s="2161"/>
      <c r="K30" s="2145"/>
      <c r="L30" s="2145"/>
      <c r="M30" s="2145"/>
      <c r="N30" s="2148"/>
      <c r="O30" s="2145"/>
      <c r="P30" s="1425"/>
      <c r="Q30" s="1304"/>
      <c r="R30" s="1304"/>
      <c r="S30" s="336"/>
      <c r="T30" s="336"/>
      <c r="U30" s="336"/>
      <c r="V30" s="336"/>
      <c r="W30" s="1305"/>
      <c r="X30" s="1266"/>
      <c r="Y30" s="1266"/>
      <c r="Z30" s="1266"/>
      <c r="AA30" s="1266"/>
      <c r="AB30" s="1266"/>
      <c r="AC30" s="1266"/>
      <c r="AD30" s="1266"/>
      <c r="AE30" s="1266"/>
      <c r="AF30" s="1266"/>
      <c r="AG30" s="1266"/>
      <c r="AH30" s="1266"/>
      <c r="AI30" s="1266"/>
      <c r="AJ30" s="1266"/>
      <c r="AK30" s="1266"/>
      <c r="AL30" s="1266"/>
      <c r="AM30" s="1266"/>
      <c r="AN30" s="1266"/>
      <c r="AO30" s="1266"/>
      <c r="AP30" s="1266"/>
      <c r="AQ30" s="1266"/>
      <c r="AR30" s="1290">
        <v>0</v>
      </c>
    </row>
    <row s="1860" customFormat="1" customHeight="1" ht="17.25" hidden="1">
      <c r="A31" s="328"/>
      <c r="C31" s="327"/>
      <c r="D31" s="2143"/>
      <c r="E31" s="2151"/>
      <c r="F31" s="2153"/>
      <c r="G31" s="2151"/>
      <c r="H31" s="2156"/>
      <c r="I31" s="2158"/>
      <c r="J31" s="2161"/>
      <c r="K31" s="2145"/>
      <c r="L31" s="1304"/>
      <c r="M31" s="1304"/>
      <c r="N31" s="1304"/>
      <c r="O31" s="1304"/>
      <c r="P31" s="1304"/>
      <c r="Q31" s="1304"/>
      <c r="R31" s="1304"/>
      <c r="S31" s="336"/>
      <c r="T31" s="336"/>
      <c r="U31" s="336"/>
      <c r="V31" s="336"/>
      <c r="W31" s="1305"/>
      <c r="X31" s="1266"/>
      <c r="Y31" s="1266"/>
      <c r="Z31" s="1266"/>
      <c r="AA31" s="1266"/>
      <c r="AB31" s="1266"/>
      <c r="AC31" s="1266"/>
      <c r="AD31" s="1266"/>
      <c r="AE31" s="1266"/>
      <c r="AF31" s="1266"/>
      <c r="AG31" s="1266"/>
      <c r="AH31" s="1266"/>
      <c r="AI31" s="1266"/>
      <c r="AJ31" s="1266"/>
      <c r="AK31" s="1266"/>
      <c r="AL31" s="1266"/>
      <c r="AM31" s="1266"/>
      <c r="AN31" s="1266"/>
      <c r="AO31" s="1266"/>
      <c r="AP31" s="1266"/>
      <c r="AQ31" s="1266"/>
      <c r="AR31" s="1290">
        <v>0</v>
      </c>
    </row>
    <row s="1860" customFormat="1" customHeight="1" ht="17.25" hidden="1">
      <c r="A32" s="328"/>
      <c r="C32" s="327"/>
      <c r="D32" s="2143"/>
      <c r="E32" s="2151"/>
      <c r="F32" s="2154"/>
      <c r="G32" s="2151"/>
      <c r="H32" s="1306"/>
      <c r="I32" s="1307"/>
      <c r="J32" s="1307"/>
      <c r="K32" s="1307"/>
      <c r="L32" s="1307"/>
      <c r="M32" s="1307"/>
      <c r="N32" s="1307"/>
      <c r="O32" s="1307"/>
      <c r="P32" s="1307"/>
      <c r="Q32" s="1307"/>
      <c r="R32" s="1307"/>
      <c r="S32" s="1308"/>
      <c r="T32" s="1308"/>
      <c r="U32" s="1308"/>
      <c r="V32" s="1308"/>
      <c r="W32" s="1309"/>
      <c r="X32" s="1266"/>
      <c r="Y32" s="1266"/>
      <c r="Z32" s="1266"/>
      <c r="AA32" s="1266"/>
      <c r="AB32" s="1266"/>
      <c r="AC32" s="1266"/>
      <c r="AD32" s="1266"/>
      <c r="AE32" s="1266"/>
      <c r="AF32" s="1266"/>
      <c r="AG32" s="1266"/>
      <c r="AH32" s="1266"/>
      <c r="AI32" s="1266"/>
      <c r="AJ32" s="1266"/>
      <c r="AK32" s="1266"/>
      <c r="AL32" s="1266"/>
      <c r="AM32" s="1266"/>
      <c r="AN32" s="1266"/>
      <c r="AO32" s="1266"/>
      <c r="AP32" s="1266"/>
      <c r="AQ32" s="1266"/>
      <c r="AR32" s="1290">
        <v>0</v>
      </c>
    </row>
    <row s="1860" customFormat="1" customHeight="1" ht="17.25" hidden="1">
      <c r="A33" s="328"/>
      <c r="C33" s="216"/>
      <c r="D33" s="2142">
        <v>4</v>
      </c>
      <c r="E33" s="2150" t="s">
        <v>258</v>
      </c>
      <c r="F33" s="2152" t="s">
        <v>19</v>
      </c>
      <c r="G33" s="2150"/>
      <c r="H33" s="2155"/>
      <c r="I33" s="2157"/>
      <c r="J33" s="2159"/>
      <c r="K33" s="2144"/>
      <c r="L33" s="2144"/>
      <c r="M33" s="2144"/>
      <c r="N33" s="2146"/>
      <c r="O33" s="2144"/>
      <c r="P33" s="2144"/>
      <c r="Q33" s="2144"/>
      <c r="R33" s="2149"/>
      <c r="S33" s="2144"/>
      <c r="T33" s="1427"/>
      <c r="U33" s="1427"/>
      <c r="V33" s="1426"/>
      <c r="W33" s="1303"/>
      <c r="X33" s="1274"/>
      <c r="Y33" s="1274"/>
      <c r="Z33" s="1274"/>
      <c r="AA33" s="1274"/>
      <c r="AB33" s="1274"/>
      <c r="AC33" s="1274" t="s">
        <v>259</v>
      </c>
      <c r="AD33" s="1274" t="s">
        <v>260</v>
      </c>
      <c r="AE33" s="1274" t="s">
        <v>261</v>
      </c>
      <c r="AF33" s="1274" t="s">
        <v>262</v>
      </c>
      <c r="AG33" s="1274" t="s">
        <v>263</v>
      </c>
      <c r="AH33" s="1274"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74" t="str">
        <f>IF($G$33=0,"",$G$33)</f>
        <v/>
      </c>
      <c r="AJ33" s="1274" t="str">
        <f>IF($J$33=0,"",$J$33)</f>
        <v/>
      </c>
      <c r="AK33" s="1274" t="str">
        <f>IF($K$33="нет","без дифференциации",IF($N$33=0,"",$N$33))</f>
        <v/>
      </c>
      <c r="AL33" s="1274" t="str">
        <f>IF($O$33="нет","без дифференциации",IF($R$33=0,"",$R$33))</f>
        <v/>
      </c>
      <c r="AM33" s="1274" t="str">
        <f>IF($S$33="нет","без дифференциации",IF($V$33=0,"",$V$33))</f>
        <v/>
      </c>
      <c r="AN33" s="1779">
        <f>$I$33</f>
        <v>0</v>
      </c>
      <c r="AO33" s="1274" t="str">
        <f>$I$33&amp;"."&amp;$M$33</f>
        <v>.</v>
      </c>
      <c r="AP33" s="1266" t="str">
        <f>$I$33&amp;"."&amp;$M$33&amp;"."&amp;$Q$33</f>
        <v>..</v>
      </c>
      <c r="AQ33" s="1266" t="str">
        <f>$I$33&amp;"."&amp;$M$33&amp;"."&amp;$Q$33&amp;"."&amp;$U$33</f>
        <v>...</v>
      </c>
      <c r="AR33" s="1290">
        <v>0</v>
      </c>
    </row>
    <row s="1860" customFormat="1" customHeight="1" ht="17.25" hidden="1">
      <c r="A34" s="328"/>
      <c r="C34" s="327"/>
      <c r="D34" s="2142"/>
      <c r="E34" s="2150"/>
      <c r="F34" s="2153"/>
      <c r="G34" s="2150"/>
      <c r="H34" s="2156"/>
      <c r="I34" s="2158"/>
      <c r="J34" s="2160"/>
      <c r="K34" s="2145"/>
      <c r="L34" s="2145"/>
      <c r="M34" s="2145"/>
      <c r="N34" s="2147"/>
      <c r="O34" s="2145"/>
      <c r="P34" s="2145"/>
      <c r="Q34" s="2145"/>
      <c r="R34" s="2148"/>
      <c r="S34" s="2145"/>
      <c r="T34" s="1304"/>
      <c r="U34" s="1304"/>
      <c r="V34" s="1304"/>
      <c r="W34" s="1305"/>
      <c r="X34" s="1266"/>
      <c r="Y34" s="1266"/>
      <c r="Z34" s="1266"/>
      <c r="AA34" s="1266"/>
      <c r="AB34" s="1266"/>
      <c r="AC34" s="1266"/>
      <c r="AD34" s="1266"/>
      <c r="AE34" s="1266"/>
      <c r="AF34" s="1266"/>
      <c r="AG34" s="1266"/>
      <c r="AH34" s="1266"/>
      <c r="AI34" s="1266"/>
      <c r="AJ34" s="1266"/>
      <c r="AK34" s="1266"/>
      <c r="AL34" s="1266"/>
      <c r="AM34" s="1266"/>
      <c r="AN34" s="1266"/>
      <c r="AO34" s="1266"/>
      <c r="AP34" s="1266"/>
      <c r="AQ34" s="1266"/>
      <c r="AR34" s="1290">
        <v>0</v>
      </c>
    </row>
    <row s="1860" customFormat="1" customHeight="1" ht="17.25" hidden="1">
      <c r="A35" s="328"/>
      <c r="C35" s="327"/>
      <c r="D35" s="2143"/>
      <c r="E35" s="2151"/>
      <c r="F35" s="2153"/>
      <c r="G35" s="2151"/>
      <c r="H35" s="2156"/>
      <c r="I35" s="2158"/>
      <c r="J35" s="2161"/>
      <c r="K35" s="2145"/>
      <c r="L35" s="2145"/>
      <c r="M35" s="2145"/>
      <c r="N35" s="2148"/>
      <c r="O35" s="2145"/>
      <c r="P35" s="1425"/>
      <c r="Q35" s="1304"/>
      <c r="R35" s="1304"/>
      <c r="S35" s="336"/>
      <c r="T35" s="336"/>
      <c r="U35" s="336"/>
      <c r="V35" s="336"/>
      <c r="W35" s="1305"/>
      <c r="X35" s="1266"/>
      <c r="Y35" s="1266"/>
      <c r="Z35" s="1266"/>
      <c r="AA35" s="1266"/>
      <c r="AB35" s="1266"/>
      <c r="AC35" s="1266"/>
      <c r="AD35" s="1266"/>
      <c r="AE35" s="1266"/>
      <c r="AF35" s="1266"/>
      <c r="AG35" s="1266"/>
      <c r="AH35" s="1266"/>
      <c r="AI35" s="1266"/>
      <c r="AJ35" s="1266"/>
      <c r="AK35" s="1266"/>
      <c r="AL35" s="1266"/>
      <c r="AM35" s="1266"/>
      <c r="AN35" s="1266"/>
      <c r="AO35" s="1266"/>
      <c r="AP35" s="1266"/>
      <c r="AQ35" s="1266"/>
      <c r="AR35" s="1290">
        <v>0</v>
      </c>
    </row>
    <row s="1860" customFormat="1" customHeight="1" ht="17.25" hidden="1">
      <c r="A36" s="328"/>
      <c r="C36" s="327"/>
      <c r="D36" s="2143"/>
      <c r="E36" s="2151"/>
      <c r="F36" s="2153"/>
      <c r="G36" s="2151"/>
      <c r="H36" s="2156"/>
      <c r="I36" s="2158"/>
      <c r="J36" s="2161"/>
      <c r="K36" s="2145"/>
      <c r="L36" s="1304"/>
      <c r="M36" s="1304"/>
      <c r="N36" s="1304"/>
      <c r="O36" s="1304"/>
      <c r="P36" s="1304"/>
      <c r="Q36" s="1304"/>
      <c r="R36" s="1304"/>
      <c r="S36" s="336"/>
      <c r="T36" s="336"/>
      <c r="U36" s="336"/>
      <c r="V36" s="336"/>
      <c r="W36" s="1305"/>
      <c r="X36" s="1266"/>
      <c r="Y36" s="1266"/>
      <c r="Z36" s="1266"/>
      <c r="AA36" s="1266"/>
      <c r="AB36" s="1266"/>
      <c r="AC36" s="1266"/>
      <c r="AD36" s="1266"/>
      <c r="AE36" s="1266"/>
      <c r="AF36" s="1266"/>
      <c r="AG36" s="1266"/>
      <c r="AH36" s="1266"/>
      <c r="AI36" s="1266"/>
      <c r="AJ36" s="1266"/>
      <c r="AK36" s="1266"/>
      <c r="AL36" s="1266"/>
      <c r="AM36" s="1266"/>
      <c r="AN36" s="1266"/>
      <c r="AO36" s="1266"/>
      <c r="AP36" s="1266"/>
      <c r="AQ36" s="1266"/>
      <c r="AR36" s="1290">
        <v>0</v>
      </c>
    </row>
    <row s="1860" customFormat="1" customHeight="1" ht="17.25" hidden="1">
      <c r="A37" s="328"/>
      <c r="C37" s="327"/>
      <c r="D37" s="2143"/>
      <c r="E37" s="2151"/>
      <c r="F37" s="2154"/>
      <c r="G37" s="2151"/>
      <c r="H37" s="1306"/>
      <c r="I37" s="1307"/>
      <c r="J37" s="1307"/>
      <c r="K37" s="1307"/>
      <c r="L37" s="1307"/>
      <c r="M37" s="1307"/>
      <c r="N37" s="1307"/>
      <c r="O37" s="1307"/>
      <c r="P37" s="1307"/>
      <c r="Q37" s="1307"/>
      <c r="R37" s="1307"/>
      <c r="S37" s="1308"/>
      <c r="T37" s="1308"/>
      <c r="U37" s="1308"/>
      <c r="V37" s="1308"/>
      <c r="W37" s="1309"/>
      <c r="X37" s="1266"/>
      <c r="Y37" s="1266"/>
      <c r="Z37" s="1266"/>
      <c r="AA37" s="1266"/>
      <c r="AB37" s="1266"/>
      <c r="AC37" s="1266"/>
      <c r="AD37" s="1266"/>
      <c r="AE37" s="1266"/>
      <c r="AF37" s="1266"/>
      <c r="AG37" s="1266"/>
      <c r="AH37" s="1266"/>
      <c r="AI37" s="1266"/>
      <c r="AJ37" s="1266"/>
      <c r="AK37" s="1266"/>
      <c r="AL37" s="1266"/>
      <c r="AM37" s="1266"/>
      <c r="AN37" s="1266"/>
      <c r="AO37" s="1266"/>
      <c r="AP37" s="1266"/>
      <c r="AQ37" s="1266"/>
      <c r="AR37" s="1290">
        <v>0</v>
      </c>
    </row>
    <row s="1860" customFormat="1" customHeight="1" ht="17.25" hidden="1">
      <c r="A38" s="328"/>
      <c r="C38" s="216"/>
      <c r="D38" s="2142">
        <v>5</v>
      </c>
      <c r="E38" s="2150" t="s">
        <v>264</v>
      </c>
      <c r="F38" s="2152" t="s">
        <v>19</v>
      </c>
      <c r="G38" s="2150"/>
      <c r="H38" s="2155"/>
      <c r="I38" s="2157"/>
      <c r="J38" s="2159"/>
      <c r="K38" s="2144"/>
      <c r="L38" s="2144"/>
      <c r="M38" s="2144"/>
      <c r="N38" s="2146"/>
      <c r="O38" s="2144"/>
      <c r="P38" s="2144"/>
      <c r="Q38" s="2144"/>
      <c r="R38" s="2149"/>
      <c r="S38" s="2144"/>
      <c r="T38" s="1427"/>
      <c r="U38" s="1427"/>
      <c r="V38" s="1426"/>
      <c r="W38" s="1303"/>
      <c r="X38" s="1274"/>
      <c r="Y38" s="1274"/>
      <c r="Z38" s="1274"/>
      <c r="AA38" s="1274"/>
      <c r="AB38" s="1274"/>
      <c r="AC38" s="1274" t="s">
        <v>265</v>
      </c>
      <c r="AD38" s="1274" t="s">
        <v>266</v>
      </c>
      <c r="AE38" s="1274" t="s">
        <v>267</v>
      </c>
      <c r="AF38" s="1274" t="s">
        <v>268</v>
      </c>
      <c r="AG38" s="1274" t="s">
        <v>269</v>
      </c>
      <c r="AH38" s="1274" t="str">
        <f>IF($E$38=0,"",$E$38)</f>
        <v>Тарифы на услуги по передаче тепловой энергии</v>
      </c>
      <c r="AI38" s="1274" t="str">
        <f>IF($G$38=0,"",$G$38)</f>
        <v/>
      </c>
      <c r="AJ38" s="1274" t="str">
        <f>IF($J$38=0,"",$J$38)</f>
        <v/>
      </c>
      <c r="AK38" s="1274" t="str">
        <f>IF($K$38="нет","без дифференциации",IF($N$38=0,"",$N$38))</f>
        <v/>
      </c>
      <c r="AL38" s="1274" t="str">
        <f>IF($O$38="нет","без дифференциации",IF($R$38=0,"",$R$38))</f>
        <v/>
      </c>
      <c r="AM38" s="1274" t="str">
        <f>IF($S$38="нет","без дифференциации",IF($V$38=0,"",$V$38))</f>
        <v/>
      </c>
      <c r="AN38" s="1779">
        <f>$I$38</f>
        <v>0</v>
      </c>
      <c r="AO38" s="1274" t="str">
        <f>$I$38&amp;"."&amp;$M$38</f>
        <v>.</v>
      </c>
      <c r="AP38" s="1266" t="str">
        <f>$I$38&amp;"."&amp;$M$38&amp;"."&amp;$Q$38</f>
        <v>..</v>
      </c>
      <c r="AQ38" s="1266" t="str">
        <f>$I$38&amp;"."&amp;$M$38&amp;"."&amp;$Q$38&amp;"."&amp;$U$38</f>
        <v>...</v>
      </c>
      <c r="AR38" s="1290">
        <v>0</v>
      </c>
    </row>
    <row s="1860" customFormat="1" customHeight="1" ht="17.25" hidden="1">
      <c r="A39" s="328"/>
      <c r="C39" s="327"/>
      <c r="D39" s="2142"/>
      <c r="E39" s="2150"/>
      <c r="F39" s="2153"/>
      <c r="G39" s="2150"/>
      <c r="H39" s="2156"/>
      <c r="I39" s="2158"/>
      <c r="J39" s="2160"/>
      <c r="K39" s="2145"/>
      <c r="L39" s="2145"/>
      <c r="M39" s="2145"/>
      <c r="N39" s="2147"/>
      <c r="O39" s="2145"/>
      <c r="P39" s="2145"/>
      <c r="Q39" s="2145"/>
      <c r="R39" s="2148"/>
      <c r="S39" s="2145"/>
      <c r="T39" s="1304"/>
      <c r="U39" s="1304"/>
      <c r="V39" s="1304"/>
      <c r="W39" s="1305"/>
      <c r="X39" s="1266"/>
      <c r="Y39" s="1266"/>
      <c r="Z39" s="1266"/>
      <c r="AA39" s="1266"/>
      <c r="AB39" s="1266"/>
      <c r="AC39" s="1266"/>
      <c r="AD39" s="1266"/>
      <c r="AE39" s="1266"/>
      <c r="AF39" s="1266"/>
      <c r="AG39" s="1266"/>
      <c r="AH39" s="1266"/>
      <c r="AI39" s="1266"/>
      <c r="AJ39" s="1266"/>
      <c r="AK39" s="1266"/>
      <c r="AL39" s="1266"/>
      <c r="AM39" s="1266"/>
      <c r="AN39" s="1266"/>
      <c r="AO39" s="1266"/>
      <c r="AP39" s="1266"/>
      <c r="AQ39" s="1266"/>
      <c r="AR39" s="1290">
        <v>0</v>
      </c>
    </row>
    <row s="1860" customFormat="1" customHeight="1" ht="17.25" hidden="1">
      <c r="A40" s="328"/>
      <c r="C40" s="327"/>
      <c r="D40" s="2143"/>
      <c r="E40" s="2151"/>
      <c r="F40" s="2153"/>
      <c r="G40" s="2151"/>
      <c r="H40" s="2156"/>
      <c r="I40" s="2158"/>
      <c r="J40" s="2161"/>
      <c r="K40" s="2145"/>
      <c r="L40" s="2145"/>
      <c r="M40" s="2145"/>
      <c r="N40" s="2148"/>
      <c r="O40" s="2145"/>
      <c r="P40" s="1425"/>
      <c r="Q40" s="1304"/>
      <c r="R40" s="1304"/>
      <c r="S40" s="336"/>
      <c r="T40" s="336"/>
      <c r="U40" s="336"/>
      <c r="V40" s="336"/>
      <c r="W40" s="1305"/>
      <c r="X40" s="1266"/>
      <c r="Y40" s="1266"/>
      <c r="Z40" s="1266"/>
      <c r="AA40" s="1266"/>
      <c r="AB40" s="1266"/>
      <c r="AC40" s="1266"/>
      <c r="AD40" s="1266"/>
      <c r="AE40" s="1266"/>
      <c r="AF40" s="1266"/>
      <c r="AG40" s="1266"/>
      <c r="AH40" s="1266"/>
      <c r="AI40" s="1266"/>
      <c r="AJ40" s="1266"/>
      <c r="AK40" s="1266"/>
      <c r="AL40" s="1266"/>
      <c r="AM40" s="1266"/>
      <c r="AN40" s="1266"/>
      <c r="AO40" s="1266"/>
      <c r="AP40" s="1266"/>
      <c r="AQ40" s="1266"/>
      <c r="AR40" s="1290">
        <v>0</v>
      </c>
    </row>
    <row s="1860" customFormat="1" customHeight="1" ht="17.25" hidden="1">
      <c r="A41" s="328"/>
      <c r="C41" s="327"/>
      <c r="D41" s="2143"/>
      <c r="E41" s="2151"/>
      <c r="F41" s="2153"/>
      <c r="G41" s="2151"/>
      <c r="H41" s="2156"/>
      <c r="I41" s="2158"/>
      <c r="J41" s="2161"/>
      <c r="K41" s="2145"/>
      <c r="L41" s="1304"/>
      <c r="M41" s="1304"/>
      <c r="N41" s="1304"/>
      <c r="O41" s="1304"/>
      <c r="P41" s="1304"/>
      <c r="Q41" s="1304"/>
      <c r="R41" s="1304"/>
      <c r="S41" s="336"/>
      <c r="T41" s="336"/>
      <c r="U41" s="336"/>
      <c r="V41" s="336"/>
      <c r="W41" s="1305"/>
      <c r="X41" s="1266"/>
      <c r="Y41" s="1266"/>
      <c r="Z41" s="1266"/>
      <c r="AA41" s="1266"/>
      <c r="AB41" s="1266"/>
      <c r="AC41" s="1266"/>
      <c r="AD41" s="1266"/>
      <c r="AE41" s="1266"/>
      <c r="AF41" s="1266"/>
      <c r="AG41" s="1266"/>
      <c r="AH41" s="1266"/>
      <c r="AI41" s="1266"/>
      <c r="AJ41" s="1266"/>
      <c r="AK41" s="1266"/>
      <c r="AL41" s="1266"/>
      <c r="AM41" s="1266"/>
      <c r="AN41" s="1266"/>
      <c r="AO41" s="1266"/>
      <c r="AP41" s="1266"/>
      <c r="AQ41" s="1266"/>
      <c r="AR41" s="1290">
        <v>0</v>
      </c>
    </row>
    <row s="1860" customFormat="1" customHeight="1" ht="17.25" hidden="1">
      <c r="A42" s="328"/>
      <c r="C42" s="327"/>
      <c r="D42" s="2143"/>
      <c r="E42" s="2151"/>
      <c r="F42" s="2154"/>
      <c r="G42" s="2151"/>
      <c r="H42" s="1306"/>
      <c r="I42" s="1307"/>
      <c r="J42" s="1307"/>
      <c r="K42" s="1307"/>
      <c r="L42" s="1307"/>
      <c r="M42" s="1307"/>
      <c r="N42" s="1307"/>
      <c r="O42" s="1307"/>
      <c r="P42" s="1307"/>
      <c r="Q42" s="1307"/>
      <c r="R42" s="1307"/>
      <c r="S42" s="1308"/>
      <c r="T42" s="1308"/>
      <c r="U42" s="1308"/>
      <c r="V42" s="1308"/>
      <c r="W42" s="1309"/>
      <c r="X42" s="1266"/>
      <c r="Y42" s="1266"/>
      <c r="Z42" s="1266"/>
      <c r="AA42" s="1266"/>
      <c r="AB42" s="1266"/>
      <c r="AC42" s="1266"/>
      <c r="AD42" s="1266"/>
      <c r="AE42" s="1266"/>
      <c r="AF42" s="1266"/>
      <c r="AG42" s="1266"/>
      <c r="AH42" s="1266"/>
      <c r="AI42" s="1266"/>
      <c r="AJ42" s="1266"/>
      <c r="AK42" s="1266"/>
      <c r="AL42" s="1266"/>
      <c r="AM42" s="1266"/>
      <c r="AN42" s="1266"/>
      <c r="AO42" s="1266"/>
      <c r="AP42" s="1266"/>
      <c r="AQ42" s="1266"/>
      <c r="AR42" s="1290">
        <v>0</v>
      </c>
    </row>
    <row s="1860" customFormat="1" customHeight="1" ht="17.25" hidden="1">
      <c r="A43" s="328"/>
      <c r="C43" s="216"/>
      <c r="D43" s="2142">
        <v>6</v>
      </c>
      <c r="E43" s="2150" t="s">
        <v>270</v>
      </c>
      <c r="F43" s="2152" t="s">
        <v>19</v>
      </c>
      <c r="G43" s="2150"/>
      <c r="H43" s="2155"/>
      <c r="I43" s="2157"/>
      <c r="J43" s="2159"/>
      <c r="K43" s="2144"/>
      <c r="L43" s="2144"/>
      <c r="M43" s="2144"/>
      <c r="N43" s="2146"/>
      <c r="O43" s="2144"/>
      <c r="P43" s="2144"/>
      <c r="Q43" s="2144"/>
      <c r="R43" s="2149"/>
      <c r="S43" s="2144"/>
      <c r="T43" s="1427"/>
      <c r="U43" s="1427"/>
      <c r="V43" s="1426"/>
      <c r="W43" s="1303"/>
      <c r="X43" s="1274"/>
      <c r="Y43" s="1274"/>
      <c r="Z43" s="1274"/>
      <c r="AA43" s="1274"/>
      <c r="AB43" s="1274"/>
      <c r="AC43" s="1274" t="s">
        <v>271</v>
      </c>
      <c r="AD43" s="1274" t="s">
        <v>272</v>
      </c>
      <c r="AE43" s="1274" t="s">
        <v>273</v>
      </c>
      <c r="AF43" s="1274" t="s">
        <v>274</v>
      </c>
      <c r="AG43" s="1274" t="s">
        <v>275</v>
      </c>
      <c r="AH43" s="1274" t="str">
        <f>IF($E$43=0,"",$E$43)</f>
        <v>Тарифы на услуги по передаче теплоносителя</v>
      </c>
      <c r="AI43" s="1274" t="str">
        <f>IF($G$43=0,"",$G$43)</f>
        <v/>
      </c>
      <c r="AJ43" s="1274" t="str">
        <f>IF($J$43=0,"",$J$43)</f>
        <v/>
      </c>
      <c r="AK43" s="1274" t="str">
        <f>IF($K$43="нет","без дифференциации",IF($N$43=0,"",$N$43))</f>
        <v/>
      </c>
      <c r="AL43" s="1274" t="str">
        <f>IF($O$43="нет","без дифференциации",IF($R$43=0,"",$R$43))</f>
        <v/>
      </c>
      <c r="AM43" s="1274" t="str">
        <f>IF($S$43="нет","без дифференциации",IF($V$43=0,"",$V$43))</f>
        <v/>
      </c>
      <c r="AN43" s="1779">
        <f>$I$43</f>
        <v>0</v>
      </c>
      <c r="AO43" s="1274" t="str">
        <f>$I$43&amp;"."&amp;$M$43</f>
        <v>.</v>
      </c>
      <c r="AP43" s="1266" t="str">
        <f>$I$43&amp;"."&amp;$M$43&amp;"."&amp;$Q$43</f>
        <v>..</v>
      </c>
      <c r="AQ43" s="1266" t="str">
        <f>$I$43&amp;"."&amp;$M$43&amp;"."&amp;$Q$43&amp;"."&amp;$U$43</f>
        <v>...</v>
      </c>
      <c r="AR43" s="1290">
        <v>0</v>
      </c>
    </row>
    <row s="1860" customFormat="1" customHeight="1" ht="17.25" hidden="1">
      <c r="A44" s="328"/>
      <c r="C44" s="327"/>
      <c r="D44" s="2142"/>
      <c r="E44" s="2150"/>
      <c r="F44" s="2153"/>
      <c r="G44" s="2150"/>
      <c r="H44" s="2156"/>
      <c r="I44" s="2158"/>
      <c r="J44" s="2160"/>
      <c r="K44" s="2145"/>
      <c r="L44" s="2145"/>
      <c r="M44" s="2145"/>
      <c r="N44" s="2147"/>
      <c r="O44" s="2145"/>
      <c r="P44" s="2145"/>
      <c r="Q44" s="2145"/>
      <c r="R44" s="2148"/>
      <c r="S44" s="2145"/>
      <c r="T44" s="1304"/>
      <c r="U44" s="1304"/>
      <c r="V44" s="1304"/>
      <c r="W44" s="1305"/>
      <c r="X44" s="1266"/>
      <c r="Y44" s="1266"/>
      <c r="Z44" s="1266"/>
      <c r="AA44" s="1266"/>
      <c r="AB44" s="1266"/>
      <c r="AC44" s="1266"/>
      <c r="AD44" s="1266"/>
      <c r="AE44" s="1266"/>
      <c r="AF44" s="1266"/>
      <c r="AG44" s="1266"/>
      <c r="AH44" s="1266"/>
      <c r="AI44" s="1266"/>
      <c r="AJ44" s="1266"/>
      <c r="AK44" s="1266"/>
      <c r="AL44" s="1266"/>
      <c r="AM44" s="1266"/>
      <c r="AN44" s="1266"/>
      <c r="AO44" s="1266"/>
      <c r="AP44" s="1266"/>
      <c r="AQ44" s="1266"/>
      <c r="AR44" s="1290">
        <v>0</v>
      </c>
    </row>
    <row s="1860" customFormat="1" customHeight="1" ht="17.25" hidden="1">
      <c r="A45" s="328"/>
      <c r="C45" s="327"/>
      <c r="D45" s="2143"/>
      <c r="E45" s="2151"/>
      <c r="F45" s="2153"/>
      <c r="G45" s="2151"/>
      <c r="H45" s="2156"/>
      <c r="I45" s="2158"/>
      <c r="J45" s="2161"/>
      <c r="K45" s="2145"/>
      <c r="L45" s="2145"/>
      <c r="M45" s="2145"/>
      <c r="N45" s="2148"/>
      <c r="O45" s="2145"/>
      <c r="P45" s="1425"/>
      <c r="Q45" s="1304"/>
      <c r="R45" s="1304"/>
      <c r="S45" s="336"/>
      <c r="T45" s="336"/>
      <c r="U45" s="336"/>
      <c r="V45" s="336"/>
      <c r="W45" s="1305"/>
      <c r="X45" s="1266"/>
      <c r="Y45" s="1266"/>
      <c r="Z45" s="1266"/>
      <c r="AA45" s="1266"/>
      <c r="AB45" s="1266"/>
      <c r="AC45" s="1266"/>
      <c r="AD45" s="1266"/>
      <c r="AE45" s="1266"/>
      <c r="AF45" s="1266"/>
      <c r="AG45" s="1266"/>
      <c r="AH45" s="1266"/>
      <c r="AI45" s="1266"/>
      <c r="AJ45" s="1266"/>
      <c r="AK45" s="1266"/>
      <c r="AL45" s="1266"/>
      <c r="AM45" s="1266"/>
      <c r="AN45" s="1266"/>
      <c r="AO45" s="1266"/>
      <c r="AP45" s="1266"/>
      <c r="AQ45" s="1266"/>
      <c r="AR45" s="1290">
        <v>0</v>
      </c>
    </row>
    <row s="1860" customFormat="1" customHeight="1" ht="17.25" hidden="1">
      <c r="A46" s="328"/>
      <c r="C46" s="216"/>
      <c r="D46" s="2143"/>
      <c r="E46" s="2151"/>
      <c r="F46" s="2153"/>
      <c r="G46" s="2151"/>
      <c r="H46" s="2156"/>
      <c r="I46" s="2158"/>
      <c r="J46" s="2161"/>
      <c r="K46" s="2145"/>
      <c r="L46" s="1304"/>
      <c r="M46" s="1304"/>
      <c r="N46" s="1304"/>
      <c r="O46" s="1304"/>
      <c r="P46" s="1304"/>
      <c r="Q46" s="1304"/>
      <c r="R46" s="1304"/>
      <c r="S46" s="336"/>
      <c r="T46" s="336"/>
      <c r="U46" s="336"/>
      <c r="V46" s="336"/>
      <c r="W46" s="1305"/>
      <c r="Y46" s="1274"/>
      <c r="Z46" s="1274"/>
      <c r="AA46" s="1274"/>
      <c r="AB46" s="1274"/>
      <c r="AC46" s="1274"/>
      <c r="AD46" s="1274"/>
      <c r="AE46" s="1274"/>
      <c r="AF46" s="1274"/>
      <c r="AG46" s="1274"/>
      <c r="AH46" s="1274"/>
      <c r="AI46" s="1274"/>
      <c r="AJ46" s="1274"/>
      <c r="AK46" s="1274"/>
      <c r="AL46" s="1274"/>
      <c r="AM46" s="1274"/>
      <c r="AN46" s="1274"/>
      <c r="AO46" s="1274"/>
      <c r="AP46" s="1274"/>
      <c r="AQ46" s="1274"/>
      <c r="AR46" s="1333">
        <v>0</v>
      </c>
    </row>
    <row s="1860" customFormat="1" customHeight="1" ht="17.25" hidden="1">
      <c r="A47" s="328"/>
      <c r="C47" s="327"/>
      <c r="D47" s="2143"/>
      <c r="E47" s="2151"/>
      <c r="F47" s="2154"/>
      <c r="G47" s="2151"/>
      <c r="H47" s="1306"/>
      <c r="I47" s="1307"/>
      <c r="J47" s="1307"/>
      <c r="K47" s="1307"/>
      <c r="L47" s="1307"/>
      <c r="M47" s="1307"/>
      <c r="N47" s="1307"/>
      <c r="O47" s="1307"/>
      <c r="P47" s="1307"/>
      <c r="Q47" s="1307"/>
      <c r="R47" s="1307"/>
      <c r="S47" s="1308"/>
      <c r="T47" s="1308"/>
      <c r="U47" s="1308"/>
      <c r="V47" s="1308"/>
      <c r="W47" s="1309"/>
      <c r="X47" s="1266"/>
      <c r="Y47" s="1266"/>
      <c r="Z47" s="1266"/>
      <c r="AA47" s="1266"/>
      <c r="AB47" s="1266"/>
      <c r="AC47" s="1266"/>
      <c r="AD47" s="1266"/>
      <c r="AE47" s="1266"/>
      <c r="AF47" s="1266"/>
      <c r="AG47" s="1266"/>
      <c r="AH47" s="1266"/>
      <c r="AI47" s="1266"/>
      <c r="AJ47" s="1266"/>
      <c r="AK47" s="1266"/>
      <c r="AL47" s="1266"/>
      <c r="AM47" s="1266"/>
      <c r="AN47" s="1266"/>
      <c r="AO47" s="1266"/>
      <c r="AP47" s="1266"/>
      <c r="AQ47" s="1266"/>
      <c r="AR47" s="1290">
        <v>0</v>
      </c>
    </row>
    <row s="1860" customFormat="1" customHeight="1" ht="17.25" hidden="1">
      <c r="A48" s="328"/>
      <c r="C48" s="216"/>
      <c r="D48" s="2173">
        <v>7</v>
      </c>
      <c r="E48" s="2176" t="s">
        <v>276</v>
      </c>
      <c r="F48" s="2152" t="s">
        <v>19</v>
      </c>
      <c r="G48" s="2176"/>
      <c r="H48" s="2155"/>
      <c r="I48" s="2157"/>
      <c r="J48" s="2159"/>
      <c r="K48" s="2144"/>
      <c r="L48" s="2144"/>
      <c r="M48" s="2144"/>
      <c r="N48" s="2146"/>
      <c r="O48" s="2144"/>
      <c r="P48" s="2144"/>
      <c r="Q48" s="2144"/>
      <c r="R48" s="2149"/>
      <c r="S48" s="2144"/>
      <c r="T48" s="1427"/>
      <c r="U48" s="1427"/>
      <c r="V48" s="1426"/>
      <c r="W48" s="1303"/>
      <c r="X48" s="1274"/>
      <c r="Y48" s="1274"/>
      <c r="Z48" s="1274"/>
      <c r="AA48" s="1274"/>
      <c r="AB48" s="1274"/>
      <c r="AC48" s="1274" t="s">
        <v>277</v>
      </c>
      <c r="AD48" s="1274" t="s">
        <v>278</v>
      </c>
      <c r="AE48" s="1274" t="s">
        <v>279</v>
      </c>
      <c r="AF48" s="1274" t="s">
        <v>280</v>
      </c>
      <c r="AG48" s="1274" t="s">
        <v>281</v>
      </c>
      <c r="AH48" s="1274" t="str">
        <f>IF($E$48=0,"",$E$48)</f>
        <v>Плата за услуги по поддержанию резервной тепловой мощности при отсутствии потребления тепловой энергии</v>
      </c>
      <c r="AI48" s="1274" t="str">
        <f>IF($G$48=0,"",$G$48)</f>
        <v/>
      </c>
      <c r="AJ48" s="1274" t="str">
        <f>IF($J$48=0,"",$J$48)</f>
        <v/>
      </c>
      <c r="AK48" s="1274" t="str">
        <f>IF($K$48="нет","без дифференциации",IF($N$48=0,"",$N$48))</f>
        <v/>
      </c>
      <c r="AL48" s="1274" t="str">
        <f>IF($O$48="нет","без дифференциации",IF($R$48=0,"",$R$48))</f>
        <v/>
      </c>
      <c r="AM48" s="1274" t="str">
        <f>IF($S$48="нет","без дифференциации",IF($V$48=0,"",$V$48))</f>
        <v/>
      </c>
      <c r="AN48" s="1779">
        <f>$I$48</f>
        <v>0</v>
      </c>
      <c r="AO48" s="1274" t="str">
        <f>$I$48&amp;"."&amp;$M$48</f>
        <v>.</v>
      </c>
      <c r="AP48" s="1266" t="str">
        <f>$I$48&amp;"."&amp;$M$48&amp;"."&amp;$Q$48</f>
        <v>..</v>
      </c>
      <c r="AQ48" s="1266" t="str">
        <f>$I$48&amp;"."&amp;$M$48&amp;"."&amp;$Q$48&amp;"."&amp;$U$48</f>
        <v>...</v>
      </c>
      <c r="AR48" s="1315">
        <v>0</v>
      </c>
    </row>
    <row s="1860" customFormat="1" customHeight="1" ht="17.25" hidden="1">
      <c r="A49" s="328"/>
      <c r="C49" s="327"/>
      <c r="D49" s="2174"/>
      <c r="E49" s="2177"/>
      <c r="F49" s="2153"/>
      <c r="G49" s="2177"/>
      <c r="H49" s="2156"/>
      <c r="I49" s="2158"/>
      <c r="J49" s="2160"/>
      <c r="K49" s="2145"/>
      <c r="L49" s="2145"/>
      <c r="M49" s="2145"/>
      <c r="N49" s="2147"/>
      <c r="O49" s="2145"/>
      <c r="P49" s="2145"/>
      <c r="Q49" s="2145"/>
      <c r="R49" s="2148"/>
      <c r="S49" s="2145"/>
      <c r="T49" s="1304"/>
      <c r="U49" s="1304"/>
      <c r="V49" s="1304"/>
      <c r="W49" s="1305"/>
      <c r="X49" s="1266"/>
      <c r="Y49" s="1266"/>
      <c r="Z49" s="1266"/>
      <c r="AA49" s="1266"/>
      <c r="AB49" s="1266"/>
      <c r="AC49" s="1266"/>
      <c r="AD49" s="1266"/>
      <c r="AE49" s="1266"/>
      <c r="AF49" s="1266"/>
      <c r="AG49" s="1266"/>
      <c r="AH49" s="1266"/>
      <c r="AI49" s="1266"/>
      <c r="AJ49" s="1266"/>
      <c r="AK49" s="1266"/>
      <c r="AL49" s="1266"/>
      <c r="AM49" s="1266"/>
      <c r="AN49" s="1266"/>
      <c r="AO49" s="1266"/>
      <c r="AP49" s="1266"/>
      <c r="AQ49" s="1266"/>
      <c r="AR49" s="1315">
        <v>0</v>
      </c>
    </row>
    <row s="1860" customFormat="1" customHeight="1" ht="17.25" hidden="1">
      <c r="A50" s="328"/>
      <c r="C50" s="327"/>
      <c r="D50" s="2174"/>
      <c r="E50" s="2177"/>
      <c r="F50" s="2153"/>
      <c r="G50" s="2177"/>
      <c r="H50" s="2156"/>
      <c r="I50" s="2158"/>
      <c r="J50" s="2161"/>
      <c r="K50" s="2145"/>
      <c r="L50" s="2145"/>
      <c r="M50" s="2145"/>
      <c r="N50" s="2148"/>
      <c r="O50" s="2145"/>
      <c r="P50" s="1425"/>
      <c r="Q50" s="1304"/>
      <c r="R50" s="1304"/>
      <c r="S50" s="336"/>
      <c r="T50" s="336"/>
      <c r="U50" s="336"/>
      <c r="V50" s="336"/>
      <c r="W50" s="1305"/>
      <c r="X50" s="1266"/>
      <c r="Y50" s="1266"/>
      <c r="Z50" s="1266"/>
      <c r="AA50" s="1266"/>
      <c r="AB50" s="1266"/>
      <c r="AC50" s="1266"/>
      <c r="AD50" s="1266"/>
      <c r="AE50" s="1266"/>
      <c r="AF50" s="1266"/>
      <c r="AG50" s="1266"/>
      <c r="AH50" s="1266"/>
      <c r="AI50" s="1266"/>
      <c r="AJ50" s="1266"/>
      <c r="AK50" s="1266"/>
      <c r="AL50" s="1266"/>
      <c r="AM50" s="1266"/>
      <c r="AN50" s="1266"/>
      <c r="AO50" s="1266"/>
      <c r="AP50" s="1266"/>
      <c r="AQ50" s="1266"/>
      <c r="AR50" s="1315">
        <v>0</v>
      </c>
    </row>
    <row s="1860" customFormat="1" customHeight="1" ht="17.25" hidden="1">
      <c r="A51" s="328"/>
      <c r="C51" s="216"/>
      <c r="D51" s="2174"/>
      <c r="E51" s="2177"/>
      <c r="F51" s="2153"/>
      <c r="G51" s="2177"/>
      <c r="H51" s="2156"/>
      <c r="I51" s="2158"/>
      <c r="J51" s="2161"/>
      <c r="K51" s="2145"/>
      <c r="L51" s="1304"/>
      <c r="M51" s="1304"/>
      <c r="N51" s="1304"/>
      <c r="O51" s="1304"/>
      <c r="P51" s="1304"/>
      <c r="Q51" s="1304"/>
      <c r="R51" s="1304"/>
      <c r="S51" s="336"/>
      <c r="T51" s="336"/>
      <c r="U51" s="336"/>
      <c r="V51" s="336"/>
      <c r="W51" s="1305"/>
      <c r="Y51" s="1274"/>
      <c r="Z51" s="1274"/>
      <c r="AA51" s="1274"/>
      <c r="AB51" s="1274"/>
      <c r="AC51" s="1274"/>
      <c r="AD51" s="1274"/>
      <c r="AE51" s="1274"/>
      <c r="AF51" s="1274"/>
      <c r="AG51" s="1274"/>
      <c r="AH51" s="1274"/>
      <c r="AI51" s="1274"/>
      <c r="AJ51" s="1274"/>
      <c r="AK51" s="1274"/>
      <c r="AL51" s="1274"/>
      <c r="AM51" s="1274"/>
      <c r="AN51" s="1274"/>
      <c r="AO51" s="1274"/>
      <c r="AP51" s="1274"/>
      <c r="AQ51" s="1274"/>
      <c r="AR51" s="1333">
        <v>0</v>
      </c>
    </row>
    <row s="1860" customFormat="1" customHeight="1" ht="17.25" hidden="1">
      <c r="A52" s="328"/>
      <c r="C52" s="327"/>
      <c r="D52" s="2175"/>
      <c r="E52" s="2178"/>
      <c r="F52" s="2154"/>
      <c r="G52" s="2178"/>
      <c r="H52" s="1306"/>
      <c r="I52" s="1307"/>
      <c r="J52" s="1307"/>
      <c r="K52" s="1307"/>
      <c r="L52" s="1307"/>
      <c r="M52" s="1307"/>
      <c r="N52" s="1307"/>
      <c r="O52" s="1307"/>
      <c r="P52" s="1307"/>
      <c r="Q52" s="1307"/>
      <c r="R52" s="1307"/>
      <c r="S52" s="1308"/>
      <c r="T52" s="1308"/>
      <c r="U52" s="1308"/>
      <c r="V52" s="1308"/>
      <c r="W52" s="1309"/>
      <c r="X52" s="1266"/>
      <c r="Y52" s="1266"/>
      <c r="Z52" s="1266"/>
      <c r="AA52" s="1266"/>
      <c r="AB52" s="1266"/>
      <c r="AC52" s="1266"/>
      <c r="AD52" s="1266"/>
      <c r="AE52" s="1266"/>
      <c r="AF52" s="1266"/>
      <c r="AG52" s="1266"/>
      <c r="AH52" s="1266"/>
      <c r="AI52" s="1266"/>
      <c r="AJ52" s="1266"/>
      <c r="AK52" s="1266"/>
      <c r="AL52" s="1266"/>
      <c r="AM52" s="1266"/>
      <c r="AN52" s="1266"/>
      <c r="AO52" s="1266"/>
      <c r="AP52" s="1266"/>
      <c r="AQ52" s="1266"/>
      <c r="AR52" s="1315">
        <v>0</v>
      </c>
    </row>
    <row s="1860" customFormat="1" customHeight="1" ht="17.25" hidden="1">
      <c r="A53" s="328"/>
      <c r="C53" s="216"/>
      <c r="D53" s="2142">
        <v>8</v>
      </c>
      <c r="E53" s="2150" t="s">
        <v>282</v>
      </c>
      <c r="F53" s="2152" t="s">
        <v>19</v>
      </c>
      <c r="G53" s="2150"/>
      <c r="H53" s="2155"/>
      <c r="I53" s="2157"/>
      <c r="J53" s="2159"/>
      <c r="K53" s="2144"/>
      <c r="L53" s="2144"/>
      <c r="M53" s="2144"/>
      <c r="N53" s="2146"/>
      <c r="O53" s="2144"/>
      <c r="P53" s="2144"/>
      <c r="Q53" s="2144"/>
      <c r="R53" s="2149"/>
      <c r="S53" s="2144"/>
      <c r="T53" s="1477"/>
      <c r="U53" s="1477"/>
      <c r="V53" s="1479"/>
      <c r="W53" s="1303"/>
      <c r="X53" s="1274"/>
      <c r="Y53" s="1274"/>
      <c r="Z53" s="1274"/>
      <c r="AA53" s="1274"/>
      <c r="AB53" s="1274"/>
      <c r="AC53" s="1274" t="s">
        <v>283</v>
      </c>
      <c r="AD53" s="1274" t="s">
        <v>284</v>
      </c>
      <c r="AE53" s="1274" t="s">
        <v>285</v>
      </c>
      <c r="AF53" s="1274" t="s">
        <v>286</v>
      </c>
      <c r="AG53" s="1274" t="s">
        <v>287</v>
      </c>
      <c r="AH53" s="1274" t="str">
        <f>IF($E$53=0,"",$E$53)</f>
        <v>Плата за подключение (технологическое присоединение) к системе теплоснабжения</v>
      </c>
      <c r="AI53" s="1274" t="str">
        <f>IF($G$53=0,"",$G$53)</f>
        <v/>
      </c>
      <c r="AJ53" s="1274" t="str">
        <f>IF($J$53=0,"",$J$53)</f>
        <v/>
      </c>
      <c r="AK53" s="1274" t="str">
        <f>IF($K$53="нет","без дифференциации",IF($N$53=0,"",$N$53))</f>
        <v/>
      </c>
      <c r="AL53" s="1274" t="str">
        <f>IF($O$53="нет","без дифференциации",IF($R$53=0,"",$R$53))</f>
        <v/>
      </c>
      <c r="AM53" s="1274" t="str">
        <f>IF($S$53="нет","без дифференциации",IF($V$53=0,"",$V$53))</f>
        <v/>
      </c>
      <c r="AN53" s="1779">
        <f>$I$53</f>
        <v>0</v>
      </c>
      <c r="AO53" s="1274" t="str">
        <f>$I$53&amp;"."&amp;$M$53</f>
        <v>.</v>
      </c>
      <c r="AP53" s="1266" t="str">
        <f>$I$53&amp;"."&amp;$M$53&amp;"."&amp;$Q$53</f>
        <v>..</v>
      </c>
      <c r="AQ53" s="1266" t="str">
        <f>$I$53&amp;"."&amp;$M$53&amp;"."&amp;$Q$53&amp;"."&amp;$U$53</f>
        <v>...</v>
      </c>
      <c r="AR53" s="1315">
        <v>0</v>
      </c>
    </row>
    <row s="1860" customFormat="1" customHeight="1" ht="17.25" hidden="1">
      <c r="A54" s="328"/>
      <c r="C54" s="327"/>
      <c r="D54" s="2142"/>
      <c r="E54" s="2150"/>
      <c r="F54" s="2153"/>
      <c r="G54" s="2150"/>
      <c r="H54" s="2156"/>
      <c r="I54" s="2158"/>
      <c r="J54" s="2160"/>
      <c r="K54" s="2145"/>
      <c r="L54" s="2145"/>
      <c r="M54" s="2145"/>
      <c r="N54" s="2147"/>
      <c r="O54" s="2145"/>
      <c r="P54" s="2145"/>
      <c r="Q54" s="2145"/>
      <c r="R54" s="2148"/>
      <c r="S54" s="2145"/>
      <c r="T54" s="1304"/>
      <c r="U54" s="1304"/>
      <c r="V54" s="1304"/>
      <c r="W54" s="1305"/>
      <c r="X54" s="1266"/>
      <c r="Y54" s="1266"/>
      <c r="Z54" s="1266"/>
      <c r="AA54" s="1266"/>
      <c r="AB54" s="1266"/>
      <c r="AC54" s="1266"/>
      <c r="AD54" s="1266"/>
      <c r="AE54" s="1266"/>
      <c r="AF54" s="1266"/>
      <c r="AG54" s="1266"/>
      <c r="AH54" s="1266"/>
      <c r="AI54" s="1266"/>
      <c r="AJ54" s="1266"/>
      <c r="AK54" s="1266"/>
      <c r="AL54" s="1266"/>
      <c r="AM54" s="1266"/>
      <c r="AN54" s="1266"/>
      <c r="AO54" s="1266"/>
      <c r="AP54" s="1266"/>
      <c r="AQ54" s="1266"/>
      <c r="AR54" s="1315">
        <v>0</v>
      </c>
    </row>
    <row s="1860" customFormat="1" customHeight="1" ht="17.25" hidden="1">
      <c r="A55" s="328"/>
      <c r="C55" s="327"/>
      <c r="D55" s="2143"/>
      <c r="E55" s="2151"/>
      <c r="F55" s="2153"/>
      <c r="G55" s="2151"/>
      <c r="H55" s="2156"/>
      <c r="I55" s="2158"/>
      <c r="J55" s="2161"/>
      <c r="K55" s="2145"/>
      <c r="L55" s="2145"/>
      <c r="M55" s="2145"/>
      <c r="N55" s="2148"/>
      <c r="O55" s="2145"/>
      <c r="P55" s="1478"/>
      <c r="Q55" s="1304"/>
      <c r="R55" s="1304"/>
      <c r="S55" s="336"/>
      <c r="T55" s="336"/>
      <c r="U55" s="336"/>
      <c r="V55" s="336"/>
      <c r="W55" s="1305"/>
      <c r="X55" s="1266"/>
      <c r="Y55" s="1266"/>
      <c r="Z55" s="1266"/>
      <c r="AA55" s="1266"/>
      <c r="AB55" s="1266"/>
      <c r="AC55" s="1266"/>
      <c r="AD55" s="1266"/>
      <c r="AE55" s="1266"/>
      <c r="AF55" s="1266"/>
      <c r="AG55" s="1266"/>
      <c r="AH55" s="1266"/>
      <c r="AI55" s="1266"/>
      <c r="AJ55" s="1266"/>
      <c r="AK55" s="1266"/>
      <c r="AL55" s="1266"/>
      <c r="AM55" s="1266"/>
      <c r="AN55" s="1266"/>
      <c r="AO55" s="1266"/>
      <c r="AP55" s="1266"/>
      <c r="AQ55" s="1266"/>
      <c r="AR55" s="1315">
        <v>0</v>
      </c>
    </row>
    <row s="1860" customFormat="1" customHeight="1" ht="17.25" hidden="1">
      <c r="A56" s="328"/>
      <c r="C56" s="216"/>
      <c r="D56" s="2143"/>
      <c r="E56" s="2151"/>
      <c r="F56" s="2153"/>
      <c r="G56" s="2151"/>
      <c r="H56" s="2156"/>
      <c r="I56" s="2158"/>
      <c r="J56" s="2161"/>
      <c r="K56" s="2145"/>
      <c r="L56" s="1304"/>
      <c r="M56" s="1304"/>
      <c r="N56" s="1304"/>
      <c r="O56" s="1304"/>
      <c r="P56" s="1304"/>
      <c r="Q56" s="1304"/>
      <c r="R56" s="1304"/>
      <c r="S56" s="336"/>
      <c r="T56" s="336"/>
      <c r="U56" s="336"/>
      <c r="V56" s="336"/>
      <c r="W56" s="1305"/>
      <c r="Y56" s="1274"/>
      <c r="Z56" s="1274"/>
      <c r="AA56" s="1274"/>
      <c r="AB56" s="1274"/>
      <c r="AC56" s="1274"/>
      <c r="AD56" s="1274"/>
      <c r="AE56" s="1274"/>
      <c r="AF56" s="1274"/>
      <c r="AG56" s="1274"/>
      <c r="AH56" s="1274"/>
      <c r="AI56" s="1274"/>
      <c r="AJ56" s="1274"/>
      <c r="AK56" s="1274"/>
      <c r="AL56" s="1274"/>
      <c r="AM56" s="1274"/>
      <c r="AN56" s="1274"/>
      <c r="AO56" s="1274"/>
      <c r="AP56" s="1274"/>
      <c r="AQ56" s="1274"/>
      <c r="AR56" s="1333">
        <v>0</v>
      </c>
    </row>
    <row s="1860" customFormat="1" customHeight="1" ht="17.25" hidden="1">
      <c r="A57" s="328"/>
      <c r="C57" s="327"/>
      <c r="D57" s="2143"/>
      <c r="E57" s="2151"/>
      <c r="F57" s="2154"/>
      <c r="G57" s="2151"/>
      <c r="H57" s="1306"/>
      <c r="I57" s="1307"/>
      <c r="J57" s="1307"/>
      <c r="K57" s="1307"/>
      <c r="L57" s="1307"/>
      <c r="M57" s="1307"/>
      <c r="N57" s="1307"/>
      <c r="O57" s="1307"/>
      <c r="P57" s="1307"/>
      <c r="Q57" s="1307"/>
      <c r="R57" s="1307"/>
      <c r="S57" s="1308"/>
      <c r="T57" s="1308"/>
      <c r="U57" s="1308"/>
      <c r="V57" s="1308"/>
      <c r="W57" s="1309"/>
      <c r="X57" s="1266"/>
      <c r="Y57" s="1266"/>
      <c r="Z57" s="1266"/>
      <c r="AA57" s="1266"/>
      <c r="AB57" s="1266"/>
      <c r="AC57" s="1266"/>
      <c r="AD57" s="1266"/>
      <c r="AE57" s="1266"/>
      <c r="AF57" s="1266"/>
      <c r="AG57" s="1266"/>
      <c r="AH57" s="1266"/>
      <c r="AI57" s="1266"/>
      <c r="AJ57" s="1266"/>
      <c r="AK57" s="1266"/>
      <c r="AL57" s="1266"/>
      <c r="AM57" s="1266"/>
      <c r="AN57" s="1266"/>
      <c r="AO57" s="1266"/>
      <c r="AP57" s="1266"/>
      <c r="AQ57" s="1266"/>
      <c r="AR57" s="1315">
        <v>0</v>
      </c>
    </row>
    <row s="1860" customFormat="1" customHeight="1" ht="17.25" hidden="1">
      <c r="A58" s="328"/>
      <c r="C58" s="216"/>
      <c r="D58" s="2142">
        <v>9</v>
      </c>
      <c r="E58" s="2150" t="s">
        <v>288</v>
      </c>
      <c r="F58" s="2152" t="s">
        <v>19</v>
      </c>
      <c r="G58" s="2150"/>
      <c r="H58" s="2155"/>
      <c r="I58" s="2157"/>
      <c r="J58" s="2159"/>
      <c r="K58" s="2144"/>
      <c r="L58" s="2144"/>
      <c r="M58" s="2144"/>
      <c r="N58" s="2146"/>
      <c r="O58" s="2144"/>
      <c r="P58" s="2144"/>
      <c r="Q58" s="2144"/>
      <c r="R58" s="2149"/>
      <c r="S58" s="2144"/>
      <c r="T58" s="1938"/>
      <c r="U58" s="1938"/>
      <c r="V58" s="1940"/>
      <c r="W58" s="1303"/>
      <c r="X58" s="1274"/>
      <c r="Y58" s="1274"/>
      <c r="Z58" s="1274"/>
      <c r="AA58" s="1274"/>
      <c r="AB58" s="1274"/>
      <c r="AC58" s="1274" t="s">
        <v>289</v>
      </c>
      <c r="AD58" s="1274" t="s">
        <v>290</v>
      </c>
      <c r="AE58" s="1274" t="s">
        <v>291</v>
      </c>
      <c r="AF58" s="1274" t="s">
        <v>292</v>
      </c>
      <c r="AG58" s="1274" t="s">
        <v>293</v>
      </c>
      <c r="AH58" s="1274" t="str">
        <f>IF($E$58=0,"",$E$58)</f>
        <v>Плата за подключение (технологическое присоединение) к системе теплоснабжения (индивидуальная)</v>
      </c>
      <c r="AI58" s="1274" t="str">
        <f>IF($G$58=0,"",$G$58)</f>
        <v/>
      </c>
      <c r="AJ58" s="1274" t="str">
        <f>IF($J$58=0,"",$J$58)</f>
        <v/>
      </c>
      <c r="AK58" s="1274" t="str">
        <f>IF($K$58="нет","без дифференциации",IF($N$58=0,"",$N$58))</f>
        <v/>
      </c>
      <c r="AL58" s="1274" t="str">
        <f>IF($O$58="нет","без дифференциации",IF($R$58=0,"",$R$58))</f>
        <v/>
      </c>
      <c r="AM58" s="1274" t="str">
        <f>IF($S$58="нет","без дифференциации",IF($V$58=0,"",$V$58))</f>
        <v/>
      </c>
      <c r="AN58" s="1779">
        <f>$I$58</f>
        <v>0</v>
      </c>
      <c r="AO58" s="1274" t="str">
        <f>$I$58&amp;"."&amp;$M$58</f>
        <v>.</v>
      </c>
      <c r="AP58" s="1273" t="str">
        <f>$I$58&amp;"."&amp;$M$58&amp;"."&amp;$Q$58</f>
        <v>..</v>
      </c>
      <c r="AQ58" s="1273" t="str">
        <f>$I$58&amp;"."&amp;$M$58&amp;"."&amp;$Q$58&amp;"."&amp;$U$58</f>
        <v>...</v>
      </c>
      <c r="AR58" s="1474">
        <v>0</v>
      </c>
    </row>
    <row s="1860" customFormat="1" customHeight="1" ht="17.25" hidden="1">
      <c r="A59" s="328"/>
      <c r="C59" s="327"/>
      <c r="D59" s="2142"/>
      <c r="E59" s="2150"/>
      <c r="F59" s="2153"/>
      <c r="G59" s="2150"/>
      <c r="H59" s="2156"/>
      <c r="I59" s="2158"/>
      <c r="J59" s="2160"/>
      <c r="K59" s="2145"/>
      <c r="L59" s="2145"/>
      <c r="M59" s="2145"/>
      <c r="N59" s="2147"/>
      <c r="O59" s="2145"/>
      <c r="P59" s="2145"/>
      <c r="Q59" s="2145"/>
      <c r="R59" s="2148"/>
      <c r="S59" s="2145"/>
      <c r="T59" s="1941"/>
      <c r="U59" s="1941"/>
      <c r="V59" s="1941"/>
      <c r="W59" s="1942"/>
      <c r="X59" s="1273"/>
      <c r="Y59" s="1273"/>
      <c r="Z59" s="1273"/>
      <c r="AA59" s="1273"/>
      <c r="AB59" s="1273"/>
      <c r="AC59" s="1273"/>
      <c r="AD59" s="1273"/>
      <c r="AE59" s="1273"/>
      <c r="AF59" s="1273"/>
      <c r="AG59" s="1273"/>
      <c r="AH59" s="1273"/>
      <c r="AI59" s="1273"/>
      <c r="AJ59" s="1273"/>
      <c r="AK59" s="1273"/>
      <c r="AL59" s="1273"/>
      <c r="AM59" s="1273"/>
      <c r="AN59" s="1273"/>
      <c r="AO59" s="1273"/>
      <c r="AP59" s="1273"/>
      <c r="AQ59" s="1273"/>
      <c r="AR59" s="1474">
        <v>0</v>
      </c>
    </row>
    <row s="1860" customFormat="1" customHeight="1" ht="17.25" hidden="1">
      <c r="A60" s="328"/>
      <c r="C60" s="327"/>
      <c r="D60" s="2143"/>
      <c r="E60" s="2151"/>
      <c r="F60" s="2153"/>
      <c r="G60" s="2151"/>
      <c r="H60" s="2156"/>
      <c r="I60" s="2158"/>
      <c r="J60" s="2161"/>
      <c r="K60" s="2145"/>
      <c r="L60" s="2145"/>
      <c r="M60" s="2145"/>
      <c r="N60" s="2148"/>
      <c r="O60" s="2145"/>
      <c r="P60" s="1939"/>
      <c r="Q60" s="1941"/>
      <c r="R60" s="1941"/>
      <c r="S60" s="336"/>
      <c r="T60" s="336"/>
      <c r="U60" s="336"/>
      <c r="V60" s="336"/>
      <c r="W60" s="1942"/>
      <c r="X60" s="1273"/>
      <c r="Y60" s="1273"/>
      <c r="Z60" s="1273"/>
      <c r="AA60" s="1273"/>
      <c r="AB60" s="1273"/>
      <c r="AC60" s="1273"/>
      <c r="AD60" s="1273"/>
      <c r="AE60" s="1273"/>
      <c r="AF60" s="1273"/>
      <c r="AG60" s="1273"/>
      <c r="AH60" s="1273"/>
      <c r="AI60" s="1273"/>
      <c r="AJ60" s="1273"/>
      <c r="AK60" s="1273"/>
      <c r="AL60" s="1273"/>
      <c r="AM60" s="1273"/>
      <c r="AN60" s="1273"/>
      <c r="AO60" s="1273"/>
      <c r="AP60" s="1273"/>
      <c r="AQ60" s="1273"/>
      <c r="AR60" s="1474">
        <v>0</v>
      </c>
    </row>
    <row s="1860" customFormat="1" customHeight="1" ht="17.25" hidden="1">
      <c r="A61" s="328"/>
      <c r="C61" s="216"/>
      <c r="D61" s="2143"/>
      <c r="E61" s="2151"/>
      <c r="F61" s="2153"/>
      <c r="G61" s="2151"/>
      <c r="H61" s="2156"/>
      <c r="I61" s="2158"/>
      <c r="J61" s="2161"/>
      <c r="K61" s="2145"/>
      <c r="L61" s="1941"/>
      <c r="M61" s="1941"/>
      <c r="N61" s="1941"/>
      <c r="O61" s="1941"/>
      <c r="P61" s="1941"/>
      <c r="Q61" s="1941"/>
      <c r="R61" s="1941"/>
      <c r="S61" s="336"/>
      <c r="T61" s="336"/>
      <c r="U61" s="336"/>
      <c r="V61" s="336"/>
      <c r="W61" s="1942"/>
      <c r="Y61" s="1274"/>
      <c r="Z61" s="1274"/>
      <c r="AA61" s="1274"/>
      <c r="AB61" s="1274"/>
      <c r="AC61" s="1274"/>
      <c r="AD61" s="1274"/>
      <c r="AE61" s="1274"/>
      <c r="AF61" s="1274"/>
      <c r="AG61" s="1274"/>
      <c r="AH61" s="1274"/>
      <c r="AI61" s="1274"/>
      <c r="AJ61" s="1274"/>
      <c r="AK61" s="1274"/>
      <c r="AL61" s="1274"/>
      <c r="AM61" s="1274"/>
      <c r="AN61" s="1274"/>
      <c r="AO61" s="1274"/>
      <c r="AP61" s="1274"/>
      <c r="AQ61" s="1274"/>
      <c r="AR61" s="1474">
        <v>0</v>
      </c>
    </row>
    <row s="1860" customFormat="1" customHeight="1" ht="17.25" hidden="1">
      <c r="A62" s="328"/>
      <c r="C62" s="327"/>
      <c r="D62" s="2143"/>
      <c r="E62" s="2151"/>
      <c r="F62" s="2154"/>
      <c r="G62" s="2151"/>
      <c r="H62" s="1306"/>
      <c r="I62" s="1943"/>
      <c r="J62" s="1943"/>
      <c r="K62" s="1943"/>
      <c r="L62" s="1943"/>
      <c r="M62" s="1943"/>
      <c r="N62" s="1943"/>
      <c r="O62" s="1943"/>
      <c r="P62" s="1943"/>
      <c r="Q62" s="1943"/>
      <c r="R62" s="1943"/>
      <c r="S62" s="1308"/>
      <c r="T62" s="1308"/>
      <c r="U62" s="1308"/>
      <c r="V62" s="1308"/>
      <c r="W62" s="1944"/>
      <c r="X62" s="1273"/>
      <c r="Y62" s="1273"/>
      <c r="Z62" s="1273"/>
      <c r="AA62" s="1273"/>
      <c r="AB62" s="1273"/>
      <c r="AC62" s="1273"/>
      <c r="AD62" s="1273"/>
      <c r="AE62" s="1273"/>
      <c r="AF62" s="1273"/>
      <c r="AG62" s="1273"/>
      <c r="AH62" s="1273"/>
      <c r="AI62" s="1273"/>
      <c r="AJ62" s="1273"/>
      <c r="AK62" s="1273"/>
      <c r="AL62" s="1273"/>
      <c r="AM62" s="1273"/>
      <c r="AN62" s="1273"/>
      <c r="AO62" s="1273"/>
      <c r="AP62" s="1273"/>
      <c r="AQ62" s="1273"/>
      <c r="AR62" s="1474">
        <v>0</v>
      </c>
    </row>
    <row s="1860" customFormat="1" customHeight="1" ht="17.25" hidden="1">
      <c r="A63" s="328"/>
      <c r="C63" s="216"/>
      <c r="D63" s="2142">
        <v>10</v>
      </c>
      <c r="E63" s="2150" t="s">
        <v>294</v>
      </c>
      <c r="F63" s="2152" t="s">
        <v>19</v>
      </c>
      <c r="G63" s="2150"/>
      <c r="H63" s="2155"/>
      <c r="I63" s="2157"/>
      <c r="J63" s="2159"/>
      <c r="K63" s="2144"/>
      <c r="L63" s="2144"/>
      <c r="M63" s="2144"/>
      <c r="N63" s="2146"/>
      <c r="O63" s="2144"/>
      <c r="P63" s="2144"/>
      <c r="Q63" s="2144"/>
      <c r="R63" s="2149"/>
      <c r="S63" s="2144"/>
      <c r="T63" s="1938"/>
      <c r="U63" s="1938"/>
      <c r="V63" s="1940"/>
      <c r="W63" s="1303"/>
      <c r="X63" s="1274"/>
      <c r="Y63" s="1274"/>
      <c r="Z63" s="1274"/>
      <c r="AA63" s="1274"/>
      <c r="AB63" s="1274"/>
      <c r="AC63" s="1274" t="s">
        <v>295</v>
      </c>
      <c r="AD63" s="1274" t="s">
        <v>296</v>
      </c>
      <c r="AE63" s="1274" t="s">
        <v>297</v>
      </c>
      <c r="AF63" s="1274" t="s">
        <v>298</v>
      </c>
      <c r="AG63" s="1274" t="s">
        <v>299</v>
      </c>
      <c r="AH63" s="1274" t="str">
        <f>IF($E$63=0,"",$E$63)</f>
        <v>Предельный уровень цены на тепловую энергию (мощность), поставляемую теплоснабжающими организациями потребителям</v>
      </c>
      <c r="AI63" s="1274" t="str">
        <f>IF($G$63=0,"",$G$63)</f>
        <v/>
      </c>
      <c r="AJ63" s="1274" t="str">
        <f>IF($J$63=0,"",$J$63)</f>
        <v/>
      </c>
      <c r="AK63" s="1274" t="str">
        <f>IF($K$63="нет","без дифференциации",IF($N$63=0,"",$N$63))</f>
        <v/>
      </c>
      <c r="AL63" s="1274" t="str">
        <f>IF($O$63="нет","без дифференциации",IF($R$63=0,"",$R$63))</f>
        <v/>
      </c>
      <c r="AM63" s="1274" t="str">
        <f>IF($S$63="нет","без дифференциации",IF($V$63=0,"",$V$63))</f>
        <v/>
      </c>
      <c r="AN63" s="1779">
        <f>$I$63</f>
        <v>0</v>
      </c>
      <c r="AO63" s="1274" t="str">
        <f>$I$63&amp;"."&amp;$M$63</f>
        <v>.</v>
      </c>
      <c r="AP63" s="1273" t="str">
        <f>$I$63&amp;"."&amp;$M$63&amp;"."&amp;$Q$63</f>
        <v>..</v>
      </c>
      <c r="AQ63" s="1273" t="str">
        <f>$I$63&amp;"."&amp;$M$63&amp;"."&amp;$Q$63&amp;"."&amp;$U$63</f>
        <v>...</v>
      </c>
      <c r="AR63" s="1474">
        <v>0</v>
      </c>
    </row>
    <row s="1860" customFormat="1" customHeight="1" ht="17.25" hidden="1">
      <c r="A64" s="328"/>
      <c r="C64" s="327"/>
      <c r="D64" s="2142"/>
      <c r="E64" s="2150"/>
      <c r="F64" s="2153"/>
      <c r="G64" s="2150"/>
      <c r="H64" s="2156"/>
      <c r="I64" s="2158"/>
      <c r="J64" s="2160"/>
      <c r="K64" s="2145"/>
      <c r="L64" s="2145"/>
      <c r="M64" s="2145"/>
      <c r="N64" s="2147"/>
      <c r="O64" s="2145"/>
      <c r="P64" s="2145"/>
      <c r="Q64" s="2145"/>
      <c r="R64" s="2148"/>
      <c r="S64" s="2145"/>
      <c r="T64" s="1941"/>
      <c r="U64" s="1941"/>
      <c r="V64" s="1941"/>
      <c r="W64" s="1942"/>
      <c r="X64" s="1273"/>
      <c r="Y64" s="1273"/>
      <c r="Z64" s="1273"/>
      <c r="AA64" s="1273"/>
      <c r="AB64" s="1273"/>
      <c r="AC64" s="1273"/>
      <c r="AD64" s="1273"/>
      <c r="AE64" s="1273"/>
      <c r="AF64" s="1273"/>
      <c r="AG64" s="1273"/>
      <c r="AH64" s="1273"/>
      <c r="AI64" s="1273"/>
      <c r="AJ64" s="1273"/>
      <c r="AK64" s="1273"/>
      <c r="AL64" s="1273"/>
      <c r="AM64" s="1273"/>
      <c r="AN64" s="1273"/>
      <c r="AO64" s="1273"/>
      <c r="AP64" s="1273"/>
      <c r="AQ64" s="1273"/>
      <c r="AR64" s="1474">
        <v>0</v>
      </c>
    </row>
    <row s="1860" customFormat="1" customHeight="1" ht="17.25" hidden="1">
      <c r="A65" s="328"/>
      <c r="C65" s="327"/>
      <c r="D65" s="2143"/>
      <c r="E65" s="2151"/>
      <c r="F65" s="2153"/>
      <c r="G65" s="2151"/>
      <c r="H65" s="2156"/>
      <c r="I65" s="2158"/>
      <c r="J65" s="2161"/>
      <c r="K65" s="2145"/>
      <c r="L65" s="2145"/>
      <c r="M65" s="2145"/>
      <c r="N65" s="2148"/>
      <c r="O65" s="2145"/>
      <c r="P65" s="1939"/>
      <c r="Q65" s="1941"/>
      <c r="R65" s="1941"/>
      <c r="S65" s="336"/>
      <c r="T65" s="336"/>
      <c r="U65" s="336"/>
      <c r="V65" s="336"/>
      <c r="W65" s="1942"/>
      <c r="X65" s="1273"/>
      <c r="Y65" s="1273"/>
      <c r="Z65" s="1273"/>
      <c r="AA65" s="1273"/>
      <c r="AB65" s="1273"/>
      <c r="AC65" s="1273"/>
      <c r="AD65" s="1273"/>
      <c r="AE65" s="1273"/>
      <c r="AF65" s="1273"/>
      <c r="AG65" s="1273"/>
      <c r="AH65" s="1273"/>
      <c r="AI65" s="1273"/>
      <c r="AJ65" s="1273"/>
      <c r="AK65" s="1273"/>
      <c r="AL65" s="1273"/>
      <c r="AM65" s="1273"/>
      <c r="AN65" s="1273"/>
      <c r="AO65" s="1273"/>
      <c r="AP65" s="1273"/>
      <c r="AQ65" s="1273"/>
      <c r="AR65" s="1474">
        <v>0</v>
      </c>
    </row>
    <row s="1860" customFormat="1" customHeight="1" ht="17.25" hidden="1">
      <c r="A66" s="328"/>
      <c r="C66" s="216"/>
      <c r="D66" s="2143"/>
      <c r="E66" s="2151"/>
      <c r="F66" s="2153"/>
      <c r="G66" s="2151"/>
      <c r="H66" s="2156"/>
      <c r="I66" s="2158"/>
      <c r="J66" s="2161"/>
      <c r="K66" s="2145"/>
      <c r="L66" s="1941"/>
      <c r="M66" s="1941"/>
      <c r="N66" s="1941"/>
      <c r="O66" s="1941"/>
      <c r="P66" s="1941"/>
      <c r="Q66" s="1941"/>
      <c r="R66" s="1941"/>
      <c r="S66" s="336"/>
      <c r="T66" s="336"/>
      <c r="U66" s="336"/>
      <c r="V66" s="336"/>
      <c r="W66" s="1942"/>
      <c r="Y66" s="1274"/>
      <c r="Z66" s="1274"/>
      <c r="AA66" s="1274"/>
      <c r="AB66" s="1274"/>
      <c r="AC66" s="1274"/>
      <c r="AD66" s="1274"/>
      <c r="AE66" s="1274"/>
      <c r="AF66" s="1274"/>
      <c r="AG66" s="1274"/>
      <c r="AH66" s="1274"/>
      <c r="AI66" s="1274"/>
      <c r="AJ66" s="1274"/>
      <c r="AK66" s="1274"/>
      <c r="AL66" s="1274"/>
      <c r="AM66" s="1274"/>
      <c r="AN66" s="1274"/>
      <c r="AO66" s="1274"/>
      <c r="AP66" s="1274"/>
      <c r="AQ66" s="1274"/>
      <c r="AR66" s="1474">
        <v>0</v>
      </c>
    </row>
    <row s="1860" customFormat="1" customHeight="1" ht="17.25" hidden="1">
      <c r="A67" s="328"/>
      <c r="C67" s="327"/>
      <c r="D67" s="2143"/>
      <c r="E67" s="2151"/>
      <c r="F67" s="2154"/>
      <c r="G67" s="2151"/>
      <c r="H67" s="1306"/>
      <c r="I67" s="1943"/>
      <c r="J67" s="1943"/>
      <c r="K67" s="1943"/>
      <c r="L67" s="1943"/>
      <c r="M67" s="1943"/>
      <c r="N67" s="1943"/>
      <c r="O67" s="1943"/>
      <c r="P67" s="1943"/>
      <c r="Q67" s="1943"/>
      <c r="R67" s="1943"/>
      <c r="S67" s="1308"/>
      <c r="T67" s="1308"/>
      <c r="U67" s="1308"/>
      <c r="V67" s="1308"/>
      <c r="W67" s="1944"/>
      <c r="X67" s="1273"/>
      <c r="Y67" s="1273"/>
      <c r="Z67" s="1273"/>
      <c r="AA67" s="1273"/>
      <c r="AB67" s="1273"/>
      <c r="AC67" s="1273"/>
      <c r="AD67" s="1273"/>
      <c r="AE67" s="1273"/>
      <c r="AF67" s="1273"/>
      <c r="AG67" s="1273"/>
      <c r="AH67" s="1273"/>
      <c r="AI67" s="1273"/>
      <c r="AJ67" s="1273"/>
      <c r="AK67" s="1273"/>
      <c r="AL67" s="1273"/>
      <c r="AM67" s="1273"/>
      <c r="AN67" s="1273"/>
      <c r="AO67" s="1273"/>
      <c r="AP67" s="1273"/>
      <c r="AQ67" s="1273"/>
      <c r="AR67" s="1474">
        <v>0</v>
      </c>
    </row>
    <row customHeight="1" ht="11.25" hidden="1">
      <c r="AR68" s="111">
        <v>0</v>
      </c>
    </row>
    <row customHeight="1" ht="11.25" hidden="1">
      <c r="E69" s="2181" t="s">
        <v>300</v>
      </c>
      <c r="F69" s="2181"/>
      <c r="G69" s="2181"/>
      <c r="H69" s="2181"/>
      <c r="I69" s="2181"/>
      <c r="J69" s="2181"/>
      <c r="K69" s="2181"/>
      <c r="L69" s="2181"/>
      <c r="M69" s="2181"/>
      <c r="N69" s="2181"/>
      <c r="O69" s="2181"/>
      <c r="P69" s="2181"/>
      <c r="Q69" s="2181"/>
      <c r="R69" s="2181"/>
      <c r="S69" s="2181"/>
      <c r="T69" s="2181"/>
      <c r="U69" s="2181"/>
      <c r="V69" s="2181"/>
      <c r="W69" s="2181"/>
      <c r="AR69" s="111">
        <v>0</v>
      </c>
    </row>
    <row customHeight="1" ht="36.75" hidden="1">
      <c r="E70" s="2179" t="s">
        <v>301</v>
      </c>
      <c r="F70" s="2179"/>
      <c r="G70" s="2180"/>
      <c r="H70" s="2180"/>
      <c r="I70" s="2180"/>
      <c r="J70" s="2180"/>
      <c r="K70" s="2180"/>
      <c r="L70" s="2180"/>
      <c r="M70" s="2180"/>
      <c r="N70" s="2180"/>
      <c r="O70" s="2180"/>
      <c r="P70" s="2180"/>
      <c r="Q70" s="2180"/>
      <c r="R70" s="2180"/>
      <c r="S70" s="2180"/>
      <c r="T70" s="2180"/>
      <c r="U70" s="2180"/>
      <c r="V70" s="2180"/>
      <c r="W70" s="2180"/>
      <c r="AR70" s="111">
        <v>0</v>
      </c>
    </row>
    <row customHeight="1" ht="28.5" hidden="1">
      <c r="E71" s="2179" t="s">
        <v>302</v>
      </c>
      <c r="F71" s="2179"/>
      <c r="G71" s="2180"/>
      <c r="H71" s="2180"/>
      <c r="I71" s="2180"/>
      <c r="J71" s="2180"/>
      <c r="K71" s="2180"/>
      <c r="L71" s="2180"/>
      <c r="M71" s="2180"/>
      <c r="N71" s="2180"/>
      <c r="O71" s="2180"/>
      <c r="P71" s="2180"/>
      <c r="Q71" s="2180"/>
      <c r="R71" s="2180"/>
      <c r="S71" s="2180"/>
      <c r="T71" s="2180"/>
      <c r="U71" s="2180"/>
      <c r="V71" s="2180"/>
      <c r="W71" s="2180"/>
      <c r="AR71" s="111">
        <v>0</v>
      </c>
    </row>
    <row customHeight="1" ht="27" hidden="1">
      <c r="E72" s="2179" t="s">
        <v>303</v>
      </c>
      <c r="F72" s="2179"/>
      <c r="G72" s="2180"/>
      <c r="H72" s="2180"/>
      <c r="I72" s="2180"/>
      <c r="J72" s="2180"/>
      <c r="K72" s="2180"/>
      <c r="L72" s="2180"/>
      <c r="M72" s="2180"/>
      <c r="N72" s="2180"/>
      <c r="O72" s="2180"/>
      <c r="P72" s="2180"/>
      <c r="Q72" s="2180"/>
      <c r="R72" s="2180"/>
      <c r="S72" s="2180"/>
      <c r="T72" s="2180"/>
      <c r="U72" s="2180"/>
      <c r="V72" s="2180"/>
      <c r="W72" s="2180"/>
      <c r="AR72" s="111">
        <v>0</v>
      </c>
    </row>
    <row customHeight="1" ht="17.25" hidden="1">
      <c r="E73" s="2179" t="s">
        <v>304</v>
      </c>
      <c r="F73" s="2179"/>
      <c r="G73" s="2180"/>
      <c r="H73" s="2180"/>
      <c r="I73" s="2180"/>
      <c r="J73" s="2180"/>
      <c r="K73" s="2180"/>
      <c r="L73" s="2180"/>
      <c r="M73" s="2180"/>
      <c r="N73" s="2180"/>
      <c r="O73" s="2180"/>
      <c r="P73" s="2180"/>
      <c r="Q73" s="2180"/>
      <c r="R73" s="2180"/>
      <c r="S73" s="2180"/>
      <c r="T73" s="2180"/>
      <c r="U73" s="2180"/>
      <c r="V73" s="2180"/>
      <c r="W73" s="2180"/>
      <c r="AR73" s="111">
        <v>0</v>
      </c>
    </row>
    <row customHeight="1" ht="15" hidden="1">
      <c r="E74" s="347"/>
      <c r="F74" s="1292"/>
      <c r="G74" s="164"/>
      <c r="H74" s="164"/>
      <c r="I74" s="164"/>
      <c r="J74" s="164"/>
      <c r="K74" s="164"/>
      <c r="L74" s="164"/>
      <c r="M74" s="164"/>
      <c r="N74" s="164"/>
      <c r="O74" s="164"/>
      <c r="P74" s="164"/>
      <c r="Q74" s="164"/>
      <c r="R74" s="164"/>
      <c r="S74" s="164"/>
      <c r="T74" s="164"/>
      <c r="U74" s="164"/>
      <c r="V74" s="164"/>
      <c r="W74" s="164"/>
      <c r="AR74" s="111">
        <v>0</v>
      </c>
    </row>
    <row customHeight="1" ht="15" hidden="1">
      <c r="E75" s="2181" t="s">
        <v>305</v>
      </c>
      <c r="F75" s="2181"/>
      <c r="G75" s="2181"/>
      <c r="H75" s="2181"/>
      <c r="I75" s="2181"/>
      <c r="J75" s="2181"/>
      <c r="K75" s="2181"/>
      <c r="L75" s="2181"/>
      <c r="M75" s="2181"/>
      <c r="N75" s="2181"/>
      <c r="O75" s="2181"/>
      <c r="P75" s="2181"/>
      <c r="Q75" s="2181"/>
      <c r="R75" s="2181"/>
      <c r="S75" s="2181"/>
      <c r="T75" s="2181"/>
      <c r="U75" s="2181"/>
      <c r="V75" s="2181"/>
      <c r="W75" s="2181"/>
      <c r="AR75" s="111">
        <v>0</v>
      </c>
    </row>
    <row customHeight="1" ht="17.25" hidden="1">
      <c r="E76" s="2179" t="s">
        <v>306</v>
      </c>
      <c r="F76" s="2179"/>
      <c r="G76" s="2180"/>
      <c r="H76" s="2180"/>
      <c r="I76" s="2180"/>
      <c r="J76" s="2180"/>
      <c r="K76" s="2180"/>
      <c r="L76" s="2180"/>
      <c r="M76" s="2180"/>
      <c r="N76" s="2180"/>
      <c r="O76" s="2180"/>
      <c r="P76" s="2180"/>
      <c r="Q76" s="2180"/>
      <c r="R76" s="2180"/>
      <c r="S76" s="2180"/>
      <c r="T76" s="2180"/>
      <c r="U76" s="2180"/>
      <c r="V76" s="2180"/>
      <c r="W76" s="2180"/>
      <c r="AR76" s="111">
        <v>0</v>
      </c>
    </row>
    <row customHeight="1" ht="17.25" hidden="1">
      <c r="E77" s="2179" t="s">
        <v>307</v>
      </c>
      <c r="F77" s="2179"/>
      <c r="G77" s="2180"/>
      <c r="H77" s="2180"/>
      <c r="I77" s="2180"/>
      <c r="J77" s="2180"/>
      <c r="K77" s="2180"/>
      <c r="L77" s="2180"/>
      <c r="M77" s="2180"/>
      <c r="N77" s="2180"/>
      <c r="O77" s="2180"/>
      <c r="P77" s="2180"/>
      <c r="Q77" s="2180"/>
      <c r="R77" s="2180"/>
      <c r="S77" s="2180"/>
      <c r="T77" s="2180"/>
      <c r="U77" s="2180"/>
      <c r="V77" s="2180"/>
      <c r="W77" s="2180"/>
      <c r="AR77" s="111">
        <v>0</v>
      </c>
    </row>
    <row s="1860" customFormat="1" customHeight="1" ht="11.25" hidden="1">
      <c r="A78" s="284"/>
      <c r="B78" s="284"/>
      <c r="Y78" s="1266"/>
      <c r="Z78" s="1266"/>
      <c r="AA78" s="1266"/>
      <c r="AB78" s="1266"/>
      <c r="AC78" s="1266"/>
      <c r="AD78" s="1266"/>
      <c r="AE78" s="1266"/>
      <c r="AF78" s="1266"/>
      <c r="AG78" s="1266"/>
      <c r="AH78" s="1266"/>
      <c r="AI78" s="1266"/>
      <c r="AJ78" s="1266"/>
      <c r="AK78" s="1266"/>
      <c r="AL78" s="1266"/>
      <c r="AM78" s="1266"/>
      <c r="AN78" s="1266"/>
      <c r="AO78" s="1266"/>
      <c r="AP78" s="1266"/>
      <c r="AQ78" s="1266"/>
      <c r="AR78" s="1357">
        <v>0</v>
      </c>
    </row>
    <row s="1860" customFormat="1" customHeight="1" ht="17.25">
      <c r="A79" s="328"/>
      <c r="C79" s="216"/>
      <c r="D79" s="2142">
        <v>1</v>
      </c>
      <c r="E79" s="2150" t="s">
        <v>308</v>
      </c>
      <c r="F79" s="2152" t="s">
        <v>66</v>
      </c>
      <c r="G79" s="2636" t="str">
        <f>INDEX(VD_NAME_LIST,MATCH("4189671",VD_ID_LIST,0))</f>
        <v>Холодное водоснабжение. Питьевая вода</v>
      </c>
      <c r="H79" s="2560"/>
      <c r="I79" s="2560">
        <v>1</v>
      </c>
      <c r="J79" s="2508" t="s">
        <v>309</v>
      </c>
      <c r="K79" s="2192" t="s">
        <v>66</v>
      </c>
      <c r="L79" s="2115"/>
      <c r="M79" s="2115" t="s">
        <v>108</v>
      </c>
      <c r="N79" s="2511" t="str">
        <f>IF(Z79="","",INDEX(TERRITORY_MR_LIST,MATCH(Z79,TERRITORY_LIST_ID,0)))</f>
        <v>Территория 1</v>
      </c>
      <c r="O79" s="2192" t="s">
        <v>66</v>
      </c>
      <c r="P79" s="2115"/>
      <c r="Q79" s="2115" t="s">
        <v>108</v>
      </c>
      <c r="R79" s="2578" t="s">
        <v>310</v>
      </c>
      <c r="S79" s="2413" t="s">
        <v>19</v>
      </c>
      <c r="T79" s="2413"/>
      <c r="U79" s="2413" t="s">
        <v>108</v>
      </c>
      <c r="V79" s="1441"/>
      <c r="W79" s="2508"/>
      <c r="Y79" s="1274"/>
      <c r="Z79" s="1274" t="s">
        <v>98</v>
      </c>
      <c r="AA79" s="1274"/>
      <c r="AB79" s="1274" t="s">
        <v>311</v>
      </c>
      <c r="AC79" s="1274" t="s">
        <v>312</v>
      </c>
      <c r="AD79" s="1274" t="s">
        <v>313</v>
      </c>
      <c r="AE79" s="1274" t="s">
        <v>314</v>
      </c>
      <c r="AF79" s="1274" t="s">
        <v>315</v>
      </c>
      <c r="AG79" s="1274"/>
      <c r="AH79" s="1274" t="str">
        <f>IF($E$79=0,"",$E$79)</f>
        <v>Тариф на питьевую воду (питьевое водоснабжение)</v>
      </c>
      <c r="AI79" s="1274" t="str">
        <f>IF($G$79=0,"",$G$79)</f>
        <v>Холодное водоснабжение. Питьевая вода</v>
      </c>
      <c r="AJ79" s="1274" t="str">
        <f>IF($J$79=0,"",$J$79)</f>
        <v>Холодное водоснабжение. Питьевая вода</v>
      </c>
      <c r="AK79" s="1274" t="str">
        <f>IF($K$79="нет","без дифференциации",IF($N$79=0,"",$N$79))</f>
        <v>Территория 1</v>
      </c>
      <c r="AL79" s="1274" t="str">
        <f>IF($O$79="нет","без дифференциации",IF($R$79=0,"",$R$79))</f>
        <v>г. Белгород и Белгородский район</v>
      </c>
      <c r="AM79" s="1274" t="str">
        <f>IF($S$79="нет","без дифференциации",IF($V$79=0,"",$V$79))</f>
        <v>без дифференциации</v>
      </c>
      <c r="AN79" s="1274">
        <f>$I$79</f>
        <v>1</v>
      </c>
      <c r="AO79" s="1274" t="str">
        <f>$I$79&amp;"."&amp;$M$79</f>
        <v>1.1</v>
      </c>
      <c r="AP79" s="1274" t="str">
        <f>$I$79&amp;"."&amp;$M$79&amp;"."&amp;$Q$79</f>
        <v>1.1.1</v>
      </c>
      <c r="AQ79" s="1274" t="str">
        <f>$I$79&amp;"."&amp;$M$79&amp;"."&amp;$Q$79&amp;"."&amp;$U$79</f>
        <v>1.1.1.1</v>
      </c>
      <c r="AR79" s="1357">
        <v>0</v>
      </c>
    </row>
    <row s="1860" customFormat="1" customHeight="1" ht="17.25">
      <c r="A80" s="328"/>
      <c r="C80" s="327"/>
      <c r="D80" s="2142"/>
      <c r="E80" s="2150"/>
      <c r="F80" s="2153"/>
      <c r="G80" s="2636"/>
      <c r="H80" s="2560"/>
      <c r="I80" s="2560"/>
      <c r="J80" s="2508"/>
      <c r="K80" s="2193"/>
      <c r="L80" s="2115"/>
      <c r="M80" s="2115"/>
      <c r="N80" s="2511"/>
      <c r="O80" s="2193"/>
      <c r="P80" s="2115"/>
      <c r="Q80" s="2115"/>
      <c r="R80" s="2578"/>
      <c r="S80" s="2413"/>
      <c r="T80" s="1442"/>
      <c r="U80" s="1443"/>
      <c r="V80" s="1443"/>
      <c r="W80" s="2508"/>
      <c r="Y80" s="1266"/>
      <c r="Z80" s="1266"/>
      <c r="AA80" s="1266"/>
      <c r="AB80" s="1266"/>
      <c r="AC80" s="1266"/>
      <c r="AD80" s="1266"/>
      <c r="AE80" s="1266"/>
      <c r="AF80" s="1266"/>
      <c r="AG80" s="1266"/>
      <c r="AH80" s="1266"/>
      <c r="AI80" s="1266"/>
      <c r="AJ80" s="1266"/>
      <c r="AK80" s="1266"/>
      <c r="AL80" s="1266"/>
      <c r="AM80" s="1266"/>
      <c r="AN80" s="1266"/>
      <c r="AO80" s="1266"/>
      <c r="AP80" s="1266"/>
      <c r="AQ80" s="1266"/>
      <c r="AR80" s="1357">
        <v>0</v>
      </c>
    </row>
    <row s="1860" customFormat="1" customHeight="1" ht="17.25">
      <c r="A81" s="328"/>
      <c r="C81" s="216"/>
      <c r="D81" s="2142"/>
      <c r="E81" s="2150"/>
      <c r="F81" s="2153"/>
      <c r="G81" s="2636"/>
      <c r="H81" s="2510"/>
      <c r="I81" s="2510"/>
      <c r="J81" s="2540"/>
      <c r="K81" s="2193"/>
      <c r="L81" s="2510"/>
      <c r="M81" s="2510"/>
      <c r="N81" s="2512"/>
      <c r="O81" s="2119"/>
      <c r="P81" s="2637"/>
      <c r="Q81" s="2638"/>
      <c r="R81" s="2639" t="s">
        <v>316</v>
      </c>
      <c r="S81" s="2640"/>
      <c r="T81" s="2641"/>
      <c r="U81" s="2642"/>
      <c r="V81" s="2643"/>
      <c r="W81" s="2644"/>
      <c r="Y81" s="1274"/>
      <c r="Z81" s="1274"/>
      <c r="AA81" s="1274"/>
      <c r="AB81" s="1274"/>
      <c r="AC81" s="1274"/>
      <c r="AD81" s="1274"/>
      <c r="AE81" s="1274"/>
      <c r="AF81" s="1274"/>
      <c r="AG81" s="1274"/>
      <c r="AH81" s="1274"/>
      <c r="AI81" s="1274"/>
      <c r="AJ81" s="1274"/>
      <c r="AK81" s="1274"/>
      <c r="AL81" s="1274"/>
      <c r="AM81" s="1274"/>
      <c r="AN81" s="1274"/>
      <c r="AO81" s="1274"/>
      <c r="AP81" s="1274"/>
      <c r="AQ81" s="1274"/>
      <c r="AR81" s="1448">
        <v>0</v>
      </c>
    </row>
    <row customHeight="1" ht="17.25">
      <c r="A82" s="1847"/>
      <c r="B82" s="1860"/>
      <c r="C82" s="1849"/>
      <c r="D82" s="1837"/>
      <c r="E82" s="1854"/>
      <c r="F82" s="1791"/>
      <c r="G82" s="1855"/>
      <c r="H82" s="1837"/>
      <c r="I82" s="1837"/>
      <c r="J82" s="1858"/>
      <c r="K82" s="1855"/>
      <c r="L82" s="2115" t="s">
        <v>102</v>
      </c>
      <c r="M82" s="2115" t="s">
        <v>99</v>
      </c>
      <c r="N82" s="2511" t="str">
        <f>IF(Z82="","",INDEX(TERRITORY_MR_LIST,MATCH(Z82,TERRITORY_LIST_ID,0)))</f>
        <v>Территория 2</v>
      </c>
      <c r="O82" s="2192" t="s">
        <v>66</v>
      </c>
      <c r="P82" s="2115"/>
      <c r="Q82" s="2115" t="s">
        <v>108</v>
      </c>
      <c r="R82" s="2509" t="s">
        <v>317</v>
      </c>
      <c r="S82" s="2413" t="s">
        <v>19</v>
      </c>
      <c r="T82" s="1809"/>
      <c r="U82" s="1809" t="s">
        <v>108</v>
      </c>
      <c r="V82" s="1441"/>
      <c r="W82" s="2508"/>
      <c r="X82" s="1860"/>
      <c r="Y82" s="1274"/>
      <c r="Z82" s="1274" t="s">
        <v>107</v>
      </c>
      <c r="AA82" s="1274"/>
      <c r="AB82" s="1274"/>
      <c r="AC82" s="1981" t="s">
        <v>312</v>
      </c>
      <c r="AD82" s="1981" t="s">
        <v>313</v>
      </c>
      <c r="AE82" s="1274" t="s">
        <v>318</v>
      </c>
      <c r="AF82" s="1274" t="s">
        <v>319</v>
      </c>
      <c r="AG82" s="1274" t="s">
        <v>320</v>
      </c>
      <c r="AH82" s="1274" t="str">
        <f>IF($E$79=0,"",$E$79)</f>
        <v>Тариф на питьевую воду (питьевое водоснабжение)</v>
      </c>
      <c r="AI82" s="1274" t="str">
        <f>IF($G$79=0,"",$G$79)</f>
        <v>Холодное водоснабжение. Питьевая вода</v>
      </c>
      <c r="AJ82" s="1274" t="str">
        <f>IF($J$79=0,"",$J$79)</f>
        <v>Холодное водоснабжение. Питьевая вода</v>
      </c>
      <c r="AK82" s="1274" t="str">
        <f>IF($K$82="нет","без дифференциации",IF($N$82=0,"",$N$82))</f>
        <v>Территория 2</v>
      </c>
      <c r="AL82" s="1851" t="str">
        <f>IF($O$82="нет","без дифференциации",IF($R$82=0,"",$R$82))</f>
        <v>Алексеевский район</v>
      </c>
      <c r="AM82" s="1851"/>
      <c r="AN82" s="1274">
        <f>$I$79</f>
        <v>1</v>
      </c>
      <c r="AO82" s="1274" t="str">
        <f>$I$79&amp;"."&amp;$M$82</f>
        <v>1.2</v>
      </c>
      <c r="AP82" s="1274" t="str">
        <f>$I$79&amp;"."&amp;$M$82&amp;"."&amp;$Q$82</f>
        <v>1.2.1</v>
      </c>
      <c r="AQ82" s="1274"/>
      <c r="AR82" s="1860"/>
    </row>
    <row customHeight="1" ht="17.25">
      <c r="A83" s="1847"/>
      <c r="B83" s="1860"/>
      <c r="C83" s="1852"/>
      <c r="D83" s="1837"/>
      <c r="E83" s="1854"/>
      <c r="F83" s="1791"/>
      <c r="G83" s="1855"/>
      <c r="H83" s="1837"/>
      <c r="I83" s="1837"/>
      <c r="J83" s="1858"/>
      <c r="K83" s="1855"/>
      <c r="L83" s="2115"/>
      <c r="M83" s="2115"/>
      <c r="N83" s="2511"/>
      <c r="O83" s="2193"/>
      <c r="P83" s="2115"/>
      <c r="Q83" s="2115"/>
      <c r="R83" s="2509"/>
      <c r="S83" s="2413"/>
      <c r="T83" s="1442"/>
      <c r="U83" s="1443"/>
      <c r="V83" s="1443"/>
      <c r="W83" s="2508"/>
      <c r="X83" s="1860"/>
      <c r="Y83" s="1266"/>
      <c r="Z83" s="1266"/>
      <c r="AA83" s="1266"/>
      <c r="AB83" s="1266"/>
      <c r="AC83" s="1266"/>
      <c r="AD83" s="1266"/>
      <c r="AE83" s="1266"/>
      <c r="AF83" s="1266"/>
      <c r="AG83" s="1266"/>
      <c r="AH83" s="1266"/>
      <c r="AI83" s="1266"/>
      <c r="AJ83" s="1266"/>
      <c r="AK83" s="1266"/>
      <c r="AL83" s="1860"/>
      <c r="AM83" s="1860"/>
      <c r="AN83" s="1860"/>
      <c r="AO83" s="1860"/>
      <c r="AP83" s="1860"/>
      <c r="AQ83" s="1860"/>
      <c r="AR83" s="1860"/>
    </row>
    <row customHeight="1" ht="17.25">
      <c r="A84" s="1847"/>
      <c r="B84" s="1860"/>
      <c r="C84" s="1852"/>
      <c r="D84" s="1837"/>
      <c r="E84" s="1854"/>
      <c r="F84" s="1791"/>
      <c r="G84" s="1855"/>
      <c r="H84" s="1837"/>
      <c r="I84" s="1837"/>
      <c r="J84" s="1858"/>
      <c r="K84" s="1855"/>
      <c r="L84" s="2510"/>
      <c r="M84" s="2510"/>
      <c r="N84" s="2512"/>
      <c r="O84" s="2119"/>
      <c r="P84" s="324"/>
      <c r="Q84" s="325"/>
      <c r="R84" s="325" t="s">
        <v>316</v>
      </c>
      <c r="S84" s="1853"/>
      <c r="T84" s="1853"/>
      <c r="U84" s="1853"/>
      <c r="V84" s="1853"/>
      <c r="W84" s="1440"/>
      <c r="X84" s="1860"/>
      <c r="Y84" s="1266"/>
      <c r="Z84" s="1266"/>
      <c r="AA84" s="1266"/>
      <c r="AB84" s="1266"/>
      <c r="AC84" s="1266"/>
      <c r="AD84" s="1266"/>
      <c r="AE84" s="1266"/>
      <c r="AF84" s="1266"/>
      <c r="AG84" s="1266"/>
      <c r="AH84" s="1266"/>
      <c r="AI84" s="1266"/>
      <c r="AJ84" s="1266"/>
      <c r="AK84" s="1266"/>
      <c r="AL84" s="1860"/>
      <c r="AM84" s="1860"/>
      <c r="AN84" s="1860"/>
      <c r="AO84" s="1860"/>
      <c r="AP84" s="1860"/>
      <c r="AQ84" s="1860"/>
      <c r="AR84" s="1860"/>
    </row>
    <row customHeight="1" ht="17.25">
      <c r="A85" s="1847"/>
      <c r="B85" s="1860"/>
      <c r="C85" s="1849"/>
      <c r="D85" s="1837"/>
      <c r="E85" s="1854"/>
      <c r="F85" s="1791"/>
      <c r="G85" s="1855"/>
      <c r="H85" s="1837"/>
      <c r="I85" s="1837"/>
      <c r="J85" s="1858"/>
      <c r="K85" s="1855"/>
      <c r="L85" s="2115" t="s">
        <v>102</v>
      </c>
      <c r="M85" s="2115" t="s">
        <v>90</v>
      </c>
      <c r="N85" s="2511" t="str">
        <f>IF(Z85="","",INDEX(TERRITORY_MR_LIST,MATCH(Z85,TERRITORY_LIST_ID,0)))</f>
        <v>Территория 3</v>
      </c>
      <c r="O85" s="2192" t="s">
        <v>66</v>
      </c>
      <c r="P85" s="2115"/>
      <c r="Q85" s="2115" t="s">
        <v>108</v>
      </c>
      <c r="R85" s="2509" t="s">
        <v>113</v>
      </c>
      <c r="S85" s="2413" t="s">
        <v>19</v>
      </c>
      <c r="T85" s="1809"/>
      <c r="U85" s="1809" t="s">
        <v>108</v>
      </c>
      <c r="V85" s="1441"/>
      <c r="W85" s="2508"/>
      <c r="X85" s="1860"/>
      <c r="Y85" s="1274"/>
      <c r="Z85" s="1274" t="s">
        <v>111</v>
      </c>
      <c r="AA85" s="1274"/>
      <c r="AB85" s="1274"/>
      <c r="AC85" s="1981" t="s">
        <v>312</v>
      </c>
      <c r="AD85" s="1981" t="s">
        <v>313</v>
      </c>
      <c r="AE85" s="1274" t="s">
        <v>321</v>
      </c>
      <c r="AF85" s="1274" t="s">
        <v>322</v>
      </c>
      <c r="AG85" s="1274" t="s">
        <v>323</v>
      </c>
      <c r="AH85" s="1274" t="str">
        <f>IF($E$79=0,"",$E$79)</f>
        <v>Тариф на питьевую воду (питьевое водоснабжение)</v>
      </c>
      <c r="AI85" s="1274" t="str">
        <f>IF($G$79=0,"",$G$79)</f>
        <v>Холодное водоснабжение. Питьевая вода</v>
      </c>
      <c r="AJ85" s="1274" t="str">
        <f>IF($J$79=0,"",$J$79)</f>
        <v>Холодное водоснабжение. Питьевая вода</v>
      </c>
      <c r="AK85" s="1274" t="str">
        <f>IF($K$85="нет","без дифференциации",IF($N$85=0,"",$N$85))</f>
        <v>Территория 3</v>
      </c>
      <c r="AL85" s="1851" t="str">
        <f>IF($O$85="нет","без дифференциации",IF($R$85=0,"",$R$85))</f>
        <v>Борисовский район</v>
      </c>
      <c r="AM85" s="1851"/>
      <c r="AN85" s="1274">
        <f>$I$79</f>
        <v>1</v>
      </c>
      <c r="AO85" s="1274" t="str">
        <f>$I$79&amp;"."&amp;$M$85</f>
        <v>1.3</v>
      </c>
      <c r="AP85" s="1274" t="str">
        <f>$I$79&amp;"."&amp;$M$85&amp;"."&amp;$Q$85</f>
        <v>1.3.1</v>
      </c>
      <c r="AQ85" s="1274"/>
      <c r="AR85" s="1860"/>
    </row>
    <row customHeight="1" ht="17.25">
      <c r="A86" s="1847"/>
      <c r="B86" s="1860"/>
      <c r="C86" s="1852"/>
      <c r="D86" s="1837"/>
      <c r="E86" s="1854"/>
      <c r="F86" s="1791"/>
      <c r="G86" s="1855"/>
      <c r="H86" s="1837"/>
      <c r="I86" s="1837"/>
      <c r="J86" s="1858"/>
      <c r="K86" s="1855"/>
      <c r="L86" s="2115"/>
      <c r="M86" s="2115"/>
      <c r="N86" s="2511"/>
      <c r="O86" s="2193"/>
      <c r="P86" s="2115"/>
      <c r="Q86" s="2115"/>
      <c r="R86" s="2509"/>
      <c r="S86" s="2413"/>
      <c r="T86" s="1442"/>
      <c r="U86" s="1443"/>
      <c r="V86" s="1443"/>
      <c r="W86" s="2508"/>
      <c r="X86" s="1860"/>
      <c r="Y86" s="1266"/>
      <c r="Z86" s="1266"/>
      <c r="AA86" s="1266"/>
      <c r="AB86" s="1266"/>
      <c r="AC86" s="1266"/>
      <c r="AD86" s="1266"/>
      <c r="AE86" s="1266"/>
      <c r="AF86" s="1266"/>
      <c r="AG86" s="1266"/>
      <c r="AH86" s="1266"/>
      <c r="AI86" s="1266"/>
      <c r="AJ86" s="1266"/>
      <c r="AK86" s="1266"/>
      <c r="AL86" s="1860"/>
      <c r="AM86" s="1860"/>
      <c r="AN86" s="1860"/>
      <c r="AO86" s="1860"/>
      <c r="AP86" s="1860"/>
      <c r="AQ86" s="1860"/>
      <c r="AR86" s="1860"/>
    </row>
    <row customHeight="1" ht="17.25">
      <c r="A87" s="1847"/>
      <c r="B87" s="1860"/>
      <c r="C87" s="1852"/>
      <c r="D87" s="1837"/>
      <c r="E87" s="1854"/>
      <c r="F87" s="1791"/>
      <c r="G87" s="1855"/>
      <c r="H87" s="1837"/>
      <c r="I87" s="1837"/>
      <c r="J87" s="1858"/>
      <c r="K87" s="1855"/>
      <c r="L87" s="2510"/>
      <c r="M87" s="2510"/>
      <c r="N87" s="2512"/>
      <c r="O87" s="2119"/>
      <c r="P87" s="324"/>
      <c r="Q87" s="325"/>
      <c r="R87" s="325" t="s">
        <v>316</v>
      </c>
      <c r="S87" s="1853"/>
      <c r="T87" s="1853"/>
      <c r="U87" s="1853"/>
      <c r="V87" s="1853"/>
      <c r="W87" s="1440"/>
      <c r="X87" s="1860"/>
      <c r="Y87" s="1266"/>
      <c r="Z87" s="1266"/>
      <c r="AA87" s="1266"/>
      <c r="AB87" s="1266"/>
      <c r="AC87" s="1266"/>
      <c r="AD87" s="1266"/>
      <c r="AE87" s="1266"/>
      <c r="AF87" s="1266"/>
      <c r="AG87" s="1266"/>
      <c r="AH87" s="1266"/>
      <c r="AI87" s="1266"/>
      <c r="AJ87" s="1266"/>
      <c r="AK87" s="1266"/>
      <c r="AL87" s="1860"/>
      <c r="AM87" s="1860"/>
      <c r="AN87" s="1860"/>
      <c r="AO87" s="1860"/>
      <c r="AP87" s="1860"/>
      <c r="AQ87" s="1860"/>
      <c r="AR87" s="1860"/>
    </row>
    <row customHeight="1" ht="17.25">
      <c r="A88" s="1847"/>
      <c r="B88" s="1860"/>
      <c r="C88" s="1849"/>
      <c r="D88" s="1837"/>
      <c r="E88" s="1854"/>
      <c r="F88" s="1791"/>
      <c r="G88" s="1855"/>
      <c r="H88" s="1837"/>
      <c r="I88" s="1837"/>
      <c r="J88" s="1858"/>
      <c r="K88" s="1855"/>
      <c r="L88" s="2115" t="s">
        <v>102</v>
      </c>
      <c r="M88" s="2115" t="s">
        <v>91</v>
      </c>
      <c r="N88" s="2511" t="str">
        <f>IF(Z88="","",INDEX(TERRITORY_MR_LIST,MATCH(Z88,TERRITORY_LIST_ID,0)))</f>
        <v>Территория 4</v>
      </c>
      <c r="O88" s="2192" t="s">
        <v>66</v>
      </c>
      <c r="P88" s="2115"/>
      <c r="Q88" s="2115" t="s">
        <v>108</v>
      </c>
      <c r="R88" s="2509" t="s">
        <v>324</v>
      </c>
      <c r="S88" s="2413" t="s">
        <v>19</v>
      </c>
      <c r="T88" s="1809"/>
      <c r="U88" s="1809" t="s">
        <v>108</v>
      </c>
      <c r="V88" s="1441"/>
      <c r="W88" s="2508"/>
      <c r="X88" s="1860"/>
      <c r="Y88" s="1274"/>
      <c r="Z88" s="1274" t="s">
        <v>115</v>
      </c>
      <c r="AA88" s="1274"/>
      <c r="AB88" s="1274"/>
      <c r="AC88" s="1981" t="s">
        <v>312</v>
      </c>
      <c r="AD88" s="1981" t="s">
        <v>313</v>
      </c>
      <c r="AE88" s="1274" t="s">
        <v>325</v>
      </c>
      <c r="AF88" s="1274" t="s">
        <v>326</v>
      </c>
      <c r="AG88" s="1274" t="s">
        <v>327</v>
      </c>
      <c r="AH88" s="1274" t="str">
        <f>IF($E$79=0,"",$E$79)</f>
        <v>Тариф на питьевую воду (питьевое водоснабжение)</v>
      </c>
      <c r="AI88" s="1274" t="str">
        <f>IF($G$79=0,"",$G$79)</f>
        <v>Холодное водоснабжение. Питьевая вода</v>
      </c>
      <c r="AJ88" s="1274" t="str">
        <f>IF($J$79=0,"",$J$79)</f>
        <v>Холодное водоснабжение. Питьевая вода</v>
      </c>
      <c r="AK88" s="1274" t="str">
        <f>IF($K$88="нет","без дифференциации",IF($N$88=0,"",$N$88))</f>
        <v>Территория 4</v>
      </c>
      <c r="AL88" s="1851" t="str">
        <f>IF($O$88="нет","без дифференциации",IF($R$88=0,"",$R$88))</f>
        <v>Валуйский район</v>
      </c>
      <c r="AM88" s="1851"/>
      <c r="AN88" s="1274">
        <f>$I$79</f>
        <v>1</v>
      </c>
      <c r="AO88" s="1274" t="str">
        <f>$I$79&amp;"."&amp;$M$88</f>
        <v>1.4</v>
      </c>
      <c r="AP88" s="1274" t="str">
        <f>$I$79&amp;"."&amp;$M$88&amp;"."&amp;$Q$88</f>
        <v>1.4.1</v>
      </c>
      <c r="AQ88" s="1274"/>
      <c r="AR88" s="1860"/>
    </row>
    <row customHeight="1" ht="17.25">
      <c r="A89" s="1847"/>
      <c r="B89" s="1860"/>
      <c r="C89" s="1852"/>
      <c r="D89" s="1837"/>
      <c r="E89" s="1854"/>
      <c r="F89" s="1791"/>
      <c r="G89" s="1855"/>
      <c r="H89" s="1837"/>
      <c r="I89" s="1837"/>
      <c r="J89" s="1858"/>
      <c r="K89" s="1855"/>
      <c r="L89" s="2115"/>
      <c r="M89" s="2115"/>
      <c r="N89" s="2511"/>
      <c r="O89" s="2193"/>
      <c r="P89" s="2115"/>
      <c r="Q89" s="2115"/>
      <c r="R89" s="2509"/>
      <c r="S89" s="2413"/>
      <c r="T89" s="1442"/>
      <c r="U89" s="1443"/>
      <c r="V89" s="1443"/>
      <c r="W89" s="2508"/>
      <c r="X89" s="1860"/>
      <c r="Y89" s="1266"/>
      <c r="Z89" s="1266"/>
      <c r="AA89" s="1266"/>
      <c r="AB89" s="1266"/>
      <c r="AC89" s="1266"/>
      <c r="AD89" s="1266"/>
      <c r="AE89" s="1266"/>
      <c r="AF89" s="1266"/>
      <c r="AG89" s="1266"/>
      <c r="AH89" s="1266"/>
      <c r="AI89" s="1266"/>
      <c r="AJ89" s="1266"/>
      <c r="AK89" s="1266"/>
      <c r="AL89" s="1860"/>
      <c r="AM89" s="1860"/>
      <c r="AN89" s="1860"/>
      <c r="AO89" s="1860"/>
      <c r="AP89" s="1860"/>
      <c r="AQ89" s="1860"/>
      <c r="AR89" s="1860"/>
    </row>
    <row customHeight="1" ht="17.25">
      <c r="A90" s="1847"/>
      <c r="B90" s="1860"/>
      <c r="C90" s="1852"/>
      <c r="D90" s="1837"/>
      <c r="E90" s="1854"/>
      <c r="F90" s="1791"/>
      <c r="G90" s="1855"/>
      <c r="H90" s="1837"/>
      <c r="I90" s="1837"/>
      <c r="J90" s="1858"/>
      <c r="K90" s="1855"/>
      <c r="L90" s="2510"/>
      <c r="M90" s="2510"/>
      <c r="N90" s="2512"/>
      <c r="O90" s="2119"/>
      <c r="P90" s="324"/>
      <c r="Q90" s="325"/>
      <c r="R90" s="325" t="s">
        <v>316</v>
      </c>
      <c r="S90" s="1853"/>
      <c r="T90" s="1853"/>
      <c r="U90" s="1853"/>
      <c r="V90" s="1853"/>
      <c r="W90" s="1440"/>
      <c r="X90" s="1860"/>
      <c r="Y90" s="1266"/>
      <c r="Z90" s="1266"/>
      <c r="AA90" s="1266"/>
      <c r="AB90" s="1266"/>
      <c r="AC90" s="1266"/>
      <c r="AD90" s="1266"/>
      <c r="AE90" s="1266"/>
      <c r="AF90" s="1266"/>
      <c r="AG90" s="1266"/>
      <c r="AH90" s="1266"/>
      <c r="AI90" s="1266"/>
      <c r="AJ90" s="1266"/>
      <c r="AK90" s="1266"/>
      <c r="AL90" s="1860"/>
      <c r="AM90" s="1860"/>
      <c r="AN90" s="1860"/>
      <c r="AO90" s="1860"/>
      <c r="AP90" s="1860"/>
      <c r="AQ90" s="1860"/>
      <c r="AR90" s="1860"/>
    </row>
    <row customHeight="1" ht="17.25">
      <c r="A91" s="1847"/>
      <c r="B91" s="1860"/>
      <c r="C91" s="1849"/>
      <c r="D91" s="1837"/>
      <c r="E91" s="1854"/>
      <c r="F91" s="1791"/>
      <c r="G91" s="1855"/>
      <c r="H91" s="1837"/>
      <c r="I91" s="1837"/>
      <c r="J91" s="1858"/>
      <c r="K91" s="1855"/>
      <c r="L91" s="2115" t="s">
        <v>102</v>
      </c>
      <c r="M91" s="2115" t="s">
        <v>119</v>
      </c>
      <c r="N91" s="2511" t="str">
        <f>IF(Z91="","",INDEX(TERRITORY_MR_LIST,MATCH(Z91,TERRITORY_LIST_ID,0)))</f>
        <v>Территория 5</v>
      </c>
      <c r="O91" s="2192" t="s">
        <v>66</v>
      </c>
      <c r="P91" s="2115"/>
      <c r="Q91" s="2115" t="s">
        <v>108</v>
      </c>
      <c r="R91" s="2509" t="s">
        <v>328</v>
      </c>
      <c r="S91" s="2413" t="s">
        <v>19</v>
      </c>
      <c r="T91" s="1809"/>
      <c r="U91" s="1809" t="s">
        <v>108</v>
      </c>
      <c r="V91" s="1441"/>
      <c r="W91" s="2508"/>
      <c r="X91" s="1860"/>
      <c r="Y91" s="1274"/>
      <c r="Z91" s="1274" t="s">
        <v>120</v>
      </c>
      <c r="AA91" s="1274"/>
      <c r="AB91" s="1274"/>
      <c r="AC91" s="1981" t="s">
        <v>312</v>
      </c>
      <c r="AD91" s="1981" t="s">
        <v>313</v>
      </c>
      <c r="AE91" s="1274" t="s">
        <v>329</v>
      </c>
      <c r="AF91" s="1274" t="s">
        <v>330</v>
      </c>
      <c r="AG91" s="1274" t="s">
        <v>331</v>
      </c>
      <c r="AH91" s="1274" t="str">
        <f>IF($E$79=0,"",$E$79)</f>
        <v>Тариф на питьевую воду (питьевое водоснабжение)</v>
      </c>
      <c r="AI91" s="1274" t="str">
        <f>IF($G$79=0,"",$G$79)</f>
        <v>Холодное водоснабжение. Питьевая вода</v>
      </c>
      <c r="AJ91" s="1274" t="str">
        <f>IF($J$79=0,"",$J$79)</f>
        <v>Холодное водоснабжение. Питьевая вода</v>
      </c>
      <c r="AK91" s="1274" t="str">
        <f>IF($K$91="нет","без дифференциации",IF($N$91=0,"",$N$91))</f>
        <v>Территория 5</v>
      </c>
      <c r="AL91" s="1851" t="str">
        <f>IF($O$91="нет","без дифференциации",IF($R$91=0,"",$R$91))</f>
        <v>Вейделевский район</v>
      </c>
      <c r="AM91" s="1851"/>
      <c r="AN91" s="1274">
        <f>$I$79</f>
        <v>1</v>
      </c>
      <c r="AO91" s="1274" t="str">
        <f>$I$79&amp;"."&amp;$M$91</f>
        <v>1.5</v>
      </c>
      <c r="AP91" s="1274" t="str">
        <f>$I$79&amp;"."&amp;$M$91&amp;"."&amp;$Q$91</f>
        <v>1.5.1</v>
      </c>
      <c r="AQ91" s="1274"/>
      <c r="AR91" s="1860"/>
    </row>
    <row customHeight="1" ht="17.25">
      <c r="A92" s="1847"/>
      <c r="B92" s="1860"/>
      <c r="C92" s="1852"/>
      <c r="D92" s="1837"/>
      <c r="E92" s="1854"/>
      <c r="F92" s="1791"/>
      <c r="G92" s="1855"/>
      <c r="H92" s="1837"/>
      <c r="I92" s="1837"/>
      <c r="J92" s="1858"/>
      <c r="K92" s="1855"/>
      <c r="L92" s="2115"/>
      <c r="M92" s="2115"/>
      <c r="N92" s="2511"/>
      <c r="O92" s="2193"/>
      <c r="P92" s="2115"/>
      <c r="Q92" s="2115"/>
      <c r="R92" s="2509"/>
      <c r="S92" s="2413"/>
      <c r="T92" s="1442"/>
      <c r="U92" s="1443"/>
      <c r="V92" s="1443"/>
      <c r="W92" s="2508"/>
      <c r="X92" s="1860"/>
      <c r="Y92" s="1266"/>
      <c r="Z92" s="1266"/>
      <c r="AA92" s="1266"/>
      <c r="AB92" s="1266"/>
      <c r="AC92" s="1266"/>
      <c r="AD92" s="1266"/>
      <c r="AE92" s="1266"/>
      <c r="AF92" s="1266"/>
      <c r="AG92" s="1266"/>
      <c r="AH92" s="1266"/>
      <c r="AI92" s="1266"/>
      <c r="AJ92" s="1266"/>
      <c r="AK92" s="1266"/>
      <c r="AL92" s="1860"/>
      <c r="AM92" s="1860"/>
      <c r="AN92" s="1860"/>
      <c r="AO92" s="1860"/>
      <c r="AP92" s="1860"/>
      <c r="AQ92" s="1860"/>
      <c r="AR92" s="1860"/>
    </row>
    <row customHeight="1" ht="17.25">
      <c r="A93" s="1847"/>
      <c r="B93" s="1860"/>
      <c r="C93" s="1852"/>
      <c r="D93" s="1837"/>
      <c r="E93" s="1854"/>
      <c r="F93" s="1791"/>
      <c r="G93" s="1855"/>
      <c r="H93" s="1837"/>
      <c r="I93" s="1837"/>
      <c r="J93" s="1858"/>
      <c r="K93" s="1855"/>
      <c r="L93" s="2510"/>
      <c r="M93" s="2510"/>
      <c r="N93" s="2512"/>
      <c r="O93" s="2119"/>
      <c r="P93" s="324"/>
      <c r="Q93" s="325"/>
      <c r="R93" s="325" t="s">
        <v>316</v>
      </c>
      <c r="S93" s="1853"/>
      <c r="T93" s="1853"/>
      <c r="U93" s="1853"/>
      <c r="V93" s="1853"/>
      <c r="W93" s="1440"/>
      <c r="X93" s="1860"/>
      <c r="Y93" s="1266"/>
      <c r="Z93" s="1266"/>
      <c r="AA93" s="1266"/>
      <c r="AB93" s="1266"/>
      <c r="AC93" s="1266"/>
      <c r="AD93" s="1266"/>
      <c r="AE93" s="1266"/>
      <c r="AF93" s="1266"/>
      <c r="AG93" s="1266"/>
      <c r="AH93" s="1266"/>
      <c r="AI93" s="1266"/>
      <c r="AJ93" s="1266"/>
      <c r="AK93" s="1266"/>
      <c r="AL93" s="1860"/>
      <c r="AM93" s="1860"/>
      <c r="AN93" s="1860"/>
      <c r="AO93" s="1860"/>
      <c r="AP93" s="1860"/>
      <c r="AQ93" s="1860"/>
      <c r="AR93" s="1860"/>
    </row>
    <row customHeight="1" ht="17.25">
      <c r="A94" s="1847"/>
      <c r="B94" s="1860"/>
      <c r="C94" s="1849"/>
      <c r="D94" s="1837"/>
      <c r="E94" s="1854"/>
      <c r="F94" s="1791"/>
      <c r="G94" s="1855"/>
      <c r="H94" s="1837"/>
      <c r="I94" s="1837"/>
      <c r="J94" s="1858"/>
      <c r="K94" s="1855"/>
      <c r="L94" s="2115" t="s">
        <v>102</v>
      </c>
      <c r="M94" s="2115" t="s">
        <v>92</v>
      </c>
      <c r="N94" s="2511" t="str">
        <f>IF(Z94="","",INDEX(TERRITORY_MR_LIST,MATCH(Z94,TERRITORY_LIST_ID,0)))</f>
        <v>Территория 6</v>
      </c>
      <c r="O94" s="2192" t="s">
        <v>66</v>
      </c>
      <c r="P94" s="2115"/>
      <c r="Q94" s="2115" t="s">
        <v>108</v>
      </c>
      <c r="R94" s="2509" t="s">
        <v>332</v>
      </c>
      <c r="S94" s="2413" t="s">
        <v>19</v>
      </c>
      <c r="T94" s="1809"/>
      <c r="U94" s="1809" t="s">
        <v>108</v>
      </c>
      <c r="V94" s="1441"/>
      <c r="W94" s="2508"/>
      <c r="X94" s="1860"/>
      <c r="Y94" s="1274"/>
      <c r="Z94" s="1274" t="s">
        <v>124</v>
      </c>
      <c r="AA94" s="1274"/>
      <c r="AB94" s="1274"/>
      <c r="AC94" s="1981" t="s">
        <v>312</v>
      </c>
      <c r="AD94" s="1981" t="s">
        <v>313</v>
      </c>
      <c r="AE94" s="1274" t="s">
        <v>333</v>
      </c>
      <c r="AF94" s="1274" t="s">
        <v>334</v>
      </c>
      <c r="AG94" s="1274" t="s">
        <v>335</v>
      </c>
      <c r="AH94" s="1274" t="str">
        <f>IF($E$79=0,"",$E$79)</f>
        <v>Тариф на питьевую воду (питьевое водоснабжение)</v>
      </c>
      <c r="AI94" s="1274" t="str">
        <f>IF($G$79=0,"",$G$79)</f>
        <v>Холодное водоснабжение. Питьевая вода</v>
      </c>
      <c r="AJ94" s="1274" t="str">
        <f>IF($J$79=0,"",$J$79)</f>
        <v>Холодное водоснабжение. Питьевая вода</v>
      </c>
      <c r="AK94" s="1274" t="str">
        <f>IF($K$94="нет","без дифференциации",IF($N$94=0,"",$N$94))</f>
        <v>Территория 6</v>
      </c>
      <c r="AL94" s="1851" t="str">
        <f>IF($O$94="нет","без дифференциации",IF($R$94=0,"",$R$94))</f>
        <v>Волоконовский район</v>
      </c>
      <c r="AM94" s="1851"/>
      <c r="AN94" s="1274">
        <f>$I$79</f>
        <v>1</v>
      </c>
      <c r="AO94" s="1274" t="str">
        <f>$I$79&amp;"."&amp;$M$94</f>
        <v>1.6</v>
      </c>
      <c r="AP94" s="1274" t="str">
        <f>$I$79&amp;"."&amp;$M$94&amp;"."&amp;$Q$94</f>
        <v>1.6.1</v>
      </c>
      <c r="AQ94" s="1274"/>
      <c r="AR94" s="1860"/>
    </row>
    <row customHeight="1" ht="17.25">
      <c r="A95" s="1847"/>
      <c r="B95" s="1860"/>
      <c r="C95" s="1852"/>
      <c r="D95" s="1837"/>
      <c r="E95" s="1854"/>
      <c r="F95" s="1791"/>
      <c r="G95" s="1855"/>
      <c r="H95" s="1837"/>
      <c r="I95" s="1837"/>
      <c r="J95" s="1858"/>
      <c r="K95" s="1855"/>
      <c r="L95" s="2115"/>
      <c r="M95" s="2115"/>
      <c r="N95" s="2511"/>
      <c r="O95" s="2193"/>
      <c r="P95" s="2115"/>
      <c r="Q95" s="2115"/>
      <c r="R95" s="2509"/>
      <c r="S95" s="2413"/>
      <c r="T95" s="1442"/>
      <c r="U95" s="1443"/>
      <c r="V95" s="1443"/>
      <c r="W95" s="2508"/>
      <c r="X95" s="1860"/>
      <c r="Y95" s="1266"/>
      <c r="Z95" s="1266"/>
      <c r="AA95" s="1266"/>
      <c r="AB95" s="1266"/>
      <c r="AC95" s="1266"/>
      <c r="AD95" s="1266"/>
      <c r="AE95" s="1266"/>
      <c r="AF95" s="1266"/>
      <c r="AG95" s="1266"/>
      <c r="AH95" s="1266"/>
      <c r="AI95" s="1266"/>
      <c r="AJ95" s="1266"/>
      <c r="AK95" s="1266"/>
      <c r="AL95" s="1860"/>
      <c r="AM95" s="1860"/>
      <c r="AN95" s="1860"/>
      <c r="AO95" s="1860"/>
      <c r="AP95" s="1860"/>
      <c r="AQ95" s="1860"/>
      <c r="AR95" s="1860"/>
    </row>
    <row customHeight="1" ht="17.25">
      <c r="A96" s="1847"/>
      <c r="B96" s="1860"/>
      <c r="C96" s="1852"/>
      <c r="D96" s="1837"/>
      <c r="E96" s="1854"/>
      <c r="F96" s="1791"/>
      <c r="G96" s="1855"/>
      <c r="H96" s="1837"/>
      <c r="I96" s="1837"/>
      <c r="J96" s="1858"/>
      <c r="K96" s="1855"/>
      <c r="L96" s="2510"/>
      <c r="M96" s="2510"/>
      <c r="N96" s="2512"/>
      <c r="O96" s="2119"/>
      <c r="P96" s="324"/>
      <c r="Q96" s="325"/>
      <c r="R96" s="325" t="s">
        <v>316</v>
      </c>
      <c r="S96" s="1853"/>
      <c r="T96" s="1853"/>
      <c r="U96" s="1853"/>
      <c r="V96" s="1853"/>
      <c r="W96" s="1440"/>
      <c r="X96" s="1860"/>
      <c r="Y96" s="1266"/>
      <c r="Z96" s="1266"/>
      <c r="AA96" s="1266"/>
      <c r="AB96" s="1266"/>
      <c r="AC96" s="1266"/>
      <c r="AD96" s="1266"/>
      <c r="AE96" s="1266"/>
      <c r="AF96" s="1266"/>
      <c r="AG96" s="1266"/>
      <c r="AH96" s="1266"/>
      <c r="AI96" s="1266"/>
      <c r="AJ96" s="1266"/>
      <c r="AK96" s="1266"/>
      <c r="AL96" s="1860"/>
      <c r="AM96" s="1860"/>
      <c r="AN96" s="1860"/>
      <c r="AO96" s="1860"/>
      <c r="AP96" s="1860"/>
      <c r="AQ96" s="1860"/>
      <c r="AR96" s="1860"/>
    </row>
    <row customHeight="1" ht="17.25">
      <c r="A97" s="1847"/>
      <c r="B97" s="1860"/>
      <c r="C97" s="1849"/>
      <c r="D97" s="1837"/>
      <c r="E97" s="1854"/>
      <c r="F97" s="1791"/>
      <c r="G97" s="1855"/>
      <c r="H97" s="1837"/>
      <c r="I97" s="1837"/>
      <c r="J97" s="1858"/>
      <c r="K97" s="1855"/>
      <c r="L97" s="2115" t="s">
        <v>102</v>
      </c>
      <c r="M97" s="2115" t="s">
        <v>93</v>
      </c>
      <c r="N97" s="2511" t="str">
        <f>IF(Z97="","",INDEX(TERRITORY_MR_LIST,MATCH(Z97,TERRITORY_LIST_ID,0)))</f>
        <v>Территория 7</v>
      </c>
      <c r="O97" s="2192" t="s">
        <v>66</v>
      </c>
      <c r="P97" s="2115"/>
      <c r="Q97" s="2115" t="s">
        <v>108</v>
      </c>
      <c r="R97" s="2509" t="s">
        <v>336</v>
      </c>
      <c r="S97" s="2413" t="s">
        <v>19</v>
      </c>
      <c r="T97" s="1809"/>
      <c r="U97" s="1809" t="s">
        <v>108</v>
      </c>
      <c r="V97" s="1441"/>
      <c r="W97" s="2508"/>
      <c r="X97" s="1860"/>
      <c r="Y97" s="1274"/>
      <c r="Z97" s="1274" t="s">
        <v>128</v>
      </c>
      <c r="AA97" s="1274"/>
      <c r="AB97" s="1274"/>
      <c r="AC97" s="1981" t="s">
        <v>312</v>
      </c>
      <c r="AD97" s="1981" t="s">
        <v>313</v>
      </c>
      <c r="AE97" s="1274" t="s">
        <v>337</v>
      </c>
      <c r="AF97" s="1274" t="s">
        <v>338</v>
      </c>
      <c r="AG97" s="1274" t="s">
        <v>339</v>
      </c>
      <c r="AH97" s="1274" t="str">
        <f>IF($E$79=0,"",$E$79)</f>
        <v>Тариф на питьевую воду (питьевое водоснабжение)</v>
      </c>
      <c r="AI97" s="1274" t="str">
        <f>IF($G$79=0,"",$G$79)</f>
        <v>Холодное водоснабжение. Питьевая вода</v>
      </c>
      <c r="AJ97" s="1274" t="str">
        <f>IF($J$79=0,"",$J$79)</f>
        <v>Холодное водоснабжение. Питьевая вода</v>
      </c>
      <c r="AK97" s="1274" t="str">
        <f>IF($K$97="нет","без дифференциации",IF($N$97=0,"",$N$97))</f>
        <v>Территория 7</v>
      </c>
      <c r="AL97" s="1851" t="str">
        <f>IF($O$97="нет","без дифференциации",IF($R$97=0,"",$R$97))</f>
        <v>Грайворонский район</v>
      </c>
      <c r="AM97" s="1851"/>
      <c r="AN97" s="1274">
        <f>$I$79</f>
        <v>1</v>
      </c>
      <c r="AO97" s="1274" t="str">
        <f>$I$79&amp;"."&amp;$M$97</f>
        <v>1.7</v>
      </c>
      <c r="AP97" s="1274" t="str">
        <f>$I$79&amp;"."&amp;$M$97&amp;"."&amp;$Q$97</f>
        <v>1.7.1</v>
      </c>
      <c r="AQ97" s="1274"/>
      <c r="AR97" s="1860"/>
    </row>
    <row customHeight="1" ht="17.25">
      <c r="A98" s="1847"/>
      <c r="B98" s="1860"/>
      <c r="C98" s="1852"/>
      <c r="D98" s="1837"/>
      <c r="E98" s="1854"/>
      <c r="F98" s="1791"/>
      <c r="G98" s="1855"/>
      <c r="H98" s="1837"/>
      <c r="I98" s="1837"/>
      <c r="J98" s="1858"/>
      <c r="K98" s="1855"/>
      <c r="L98" s="2115"/>
      <c r="M98" s="2115"/>
      <c r="N98" s="2511"/>
      <c r="O98" s="2193"/>
      <c r="P98" s="2115"/>
      <c r="Q98" s="2115"/>
      <c r="R98" s="2509"/>
      <c r="S98" s="2413"/>
      <c r="T98" s="1442"/>
      <c r="U98" s="1443"/>
      <c r="V98" s="1443"/>
      <c r="W98" s="2508"/>
      <c r="X98" s="1860"/>
      <c r="Y98" s="1266"/>
      <c r="Z98" s="1266"/>
      <c r="AA98" s="1266"/>
      <c r="AB98" s="1266"/>
      <c r="AC98" s="1266"/>
      <c r="AD98" s="1266"/>
      <c r="AE98" s="1266"/>
      <c r="AF98" s="1266"/>
      <c r="AG98" s="1266"/>
      <c r="AH98" s="1266"/>
      <c r="AI98" s="1266"/>
      <c r="AJ98" s="1266"/>
      <c r="AK98" s="1266"/>
      <c r="AL98" s="1860"/>
      <c r="AM98" s="1860"/>
      <c r="AN98" s="1860"/>
      <c r="AO98" s="1860"/>
      <c r="AP98" s="1860"/>
      <c r="AQ98" s="1860"/>
      <c r="AR98" s="1860"/>
    </row>
    <row customHeight="1" ht="17.25">
      <c r="A99" s="1847"/>
      <c r="B99" s="1860"/>
      <c r="C99" s="1852"/>
      <c r="D99" s="1837"/>
      <c r="E99" s="1854"/>
      <c r="F99" s="1791"/>
      <c r="G99" s="1855"/>
      <c r="H99" s="1837"/>
      <c r="I99" s="1837"/>
      <c r="J99" s="1858"/>
      <c r="K99" s="1855"/>
      <c r="L99" s="2510"/>
      <c r="M99" s="2510"/>
      <c r="N99" s="2512"/>
      <c r="O99" s="2119"/>
      <c r="P99" s="324"/>
      <c r="Q99" s="325"/>
      <c r="R99" s="325" t="s">
        <v>316</v>
      </c>
      <c r="S99" s="1853"/>
      <c r="T99" s="1853"/>
      <c r="U99" s="1853"/>
      <c r="V99" s="1853"/>
      <c r="W99" s="1440"/>
      <c r="X99" s="1860"/>
      <c r="Y99" s="1266"/>
      <c r="Z99" s="1266"/>
      <c r="AA99" s="1266"/>
      <c r="AB99" s="1266"/>
      <c r="AC99" s="1266"/>
      <c r="AD99" s="1266"/>
      <c r="AE99" s="1266"/>
      <c r="AF99" s="1266"/>
      <c r="AG99" s="1266"/>
      <c r="AH99" s="1266"/>
      <c r="AI99" s="1266"/>
      <c r="AJ99" s="1266"/>
      <c r="AK99" s="1266"/>
      <c r="AL99" s="1860"/>
      <c r="AM99" s="1860"/>
      <c r="AN99" s="1860"/>
      <c r="AO99" s="1860"/>
      <c r="AP99" s="1860"/>
      <c r="AQ99" s="1860"/>
      <c r="AR99" s="1860"/>
    </row>
    <row customHeight="1" ht="17.25">
      <c r="A100" s="1847"/>
      <c r="B100" s="1860"/>
      <c r="C100" s="1849"/>
      <c r="D100" s="1837"/>
      <c r="E100" s="1854"/>
      <c r="F100" s="1791"/>
      <c r="G100" s="1855"/>
      <c r="H100" s="1837"/>
      <c r="I100" s="1837"/>
      <c r="J100" s="1858"/>
      <c r="K100" s="1855"/>
      <c r="L100" s="2115" t="s">
        <v>102</v>
      </c>
      <c r="M100" s="2115" t="s">
        <v>132</v>
      </c>
      <c r="N100" s="2511" t="str">
        <f>IF(Z100="","",INDEX(TERRITORY_MR_LIST,MATCH(Z100,TERRITORY_LIST_ID,0)))</f>
        <v>Территория 8</v>
      </c>
      <c r="O100" s="2192" t="s">
        <v>66</v>
      </c>
      <c r="P100" s="2115"/>
      <c r="Q100" s="2115" t="s">
        <v>108</v>
      </c>
      <c r="R100" s="2509" t="s">
        <v>135</v>
      </c>
      <c r="S100" s="2413" t="s">
        <v>19</v>
      </c>
      <c r="T100" s="1809"/>
      <c r="U100" s="1809" t="s">
        <v>108</v>
      </c>
      <c r="V100" s="1441"/>
      <c r="W100" s="2508"/>
      <c r="X100" s="1860"/>
      <c r="Y100" s="1274"/>
      <c r="Z100" s="1274" t="s">
        <v>133</v>
      </c>
      <c r="AA100" s="1274"/>
      <c r="AB100" s="1274"/>
      <c r="AC100" s="1981" t="s">
        <v>312</v>
      </c>
      <c r="AD100" s="1981" t="s">
        <v>313</v>
      </c>
      <c r="AE100" s="1274" t="s">
        <v>340</v>
      </c>
      <c r="AF100" s="1274" t="s">
        <v>341</v>
      </c>
      <c r="AG100" s="1274" t="s">
        <v>342</v>
      </c>
      <c r="AH100" s="1274" t="str">
        <f>IF($E$79=0,"",$E$79)</f>
        <v>Тариф на питьевую воду (питьевое водоснабжение)</v>
      </c>
      <c r="AI100" s="1274" t="str">
        <f>IF($G$79=0,"",$G$79)</f>
        <v>Холодное водоснабжение. Питьевая вода</v>
      </c>
      <c r="AJ100" s="1274" t="str">
        <f>IF($J$79=0,"",$J$79)</f>
        <v>Холодное водоснабжение. Питьевая вода</v>
      </c>
      <c r="AK100" s="1274" t="str">
        <f>IF($K$100="нет","без дифференциации",IF($N$100=0,"",$N$100))</f>
        <v>Территория 8</v>
      </c>
      <c r="AL100" s="1851" t="str">
        <f>IF($O$100="нет","без дифференциации",IF($R$100=0,"",$R$100))</f>
        <v>Ивнянский район</v>
      </c>
      <c r="AM100" s="1851"/>
      <c r="AN100" s="1274">
        <f>$I$79</f>
        <v>1</v>
      </c>
      <c r="AO100" s="1274" t="str">
        <f>$I$79&amp;"."&amp;$M$100</f>
        <v>1.8</v>
      </c>
      <c r="AP100" s="1274" t="str">
        <f>$I$79&amp;"."&amp;$M$100&amp;"."&amp;$Q$100</f>
        <v>1.8.1</v>
      </c>
      <c r="AQ100" s="1274"/>
      <c r="AR100" s="1860"/>
    </row>
    <row customHeight="1" ht="17.25">
      <c r="A101" s="1847"/>
      <c r="B101" s="1860"/>
      <c r="C101" s="1852"/>
      <c r="D101" s="1837"/>
      <c r="E101" s="1854"/>
      <c r="F101" s="1791"/>
      <c r="G101" s="1855"/>
      <c r="H101" s="1837"/>
      <c r="I101" s="1837"/>
      <c r="J101" s="1858"/>
      <c r="K101" s="1855"/>
      <c r="L101" s="2115"/>
      <c r="M101" s="2115"/>
      <c r="N101" s="2511"/>
      <c r="O101" s="2193"/>
      <c r="P101" s="2115"/>
      <c r="Q101" s="2115"/>
      <c r="R101" s="2509"/>
      <c r="S101" s="2413"/>
      <c r="T101" s="1442"/>
      <c r="U101" s="1443"/>
      <c r="V101" s="1443"/>
      <c r="W101" s="2508"/>
      <c r="X101" s="1860"/>
      <c r="Y101" s="1266"/>
      <c r="Z101" s="1266"/>
      <c r="AA101" s="1266"/>
      <c r="AB101" s="1266"/>
      <c r="AC101" s="1266"/>
      <c r="AD101" s="1266"/>
      <c r="AE101" s="1266"/>
      <c r="AF101" s="1266"/>
      <c r="AG101" s="1266"/>
      <c r="AH101" s="1266"/>
      <c r="AI101" s="1266"/>
      <c r="AJ101" s="1266"/>
      <c r="AK101" s="1266"/>
      <c r="AL101" s="1860"/>
      <c r="AM101" s="1860"/>
      <c r="AN101" s="1860"/>
      <c r="AO101" s="1860"/>
      <c r="AP101" s="1860"/>
      <c r="AQ101" s="1860"/>
      <c r="AR101" s="1860"/>
    </row>
    <row customHeight="1" ht="17.25">
      <c r="A102" s="1847"/>
      <c r="B102" s="1860"/>
      <c r="C102" s="1852"/>
      <c r="D102" s="1837"/>
      <c r="E102" s="1854"/>
      <c r="F102" s="1791"/>
      <c r="G102" s="1855"/>
      <c r="H102" s="1837"/>
      <c r="I102" s="1837"/>
      <c r="J102" s="1858"/>
      <c r="K102" s="1855"/>
      <c r="L102" s="2510"/>
      <c r="M102" s="2510"/>
      <c r="N102" s="2512"/>
      <c r="O102" s="2119"/>
      <c r="P102" s="324"/>
      <c r="Q102" s="325"/>
      <c r="R102" s="325" t="s">
        <v>316</v>
      </c>
      <c r="S102" s="1853"/>
      <c r="T102" s="1853"/>
      <c r="U102" s="1853"/>
      <c r="V102" s="1853"/>
      <c r="W102" s="1440"/>
      <c r="X102" s="1860"/>
      <c r="Y102" s="1266"/>
      <c r="Z102" s="1266"/>
      <c r="AA102" s="1266"/>
      <c r="AB102" s="1266"/>
      <c r="AC102" s="1266"/>
      <c r="AD102" s="1266"/>
      <c r="AE102" s="1266"/>
      <c r="AF102" s="1266"/>
      <c r="AG102" s="1266"/>
      <c r="AH102" s="1266"/>
      <c r="AI102" s="1266"/>
      <c r="AJ102" s="1266"/>
      <c r="AK102" s="1266"/>
      <c r="AL102" s="1860"/>
      <c r="AM102" s="1860"/>
      <c r="AN102" s="1860"/>
      <c r="AO102" s="1860"/>
      <c r="AP102" s="1860"/>
      <c r="AQ102" s="1860"/>
      <c r="AR102" s="1860"/>
    </row>
    <row customHeight="1" ht="17.25">
      <c r="A103" s="1847"/>
      <c r="B103" s="1860"/>
      <c r="C103" s="1849"/>
      <c r="D103" s="1837"/>
      <c r="E103" s="1854"/>
      <c r="F103" s="1791"/>
      <c r="G103" s="1855"/>
      <c r="H103" s="1837"/>
      <c r="I103" s="1837"/>
      <c r="J103" s="1858"/>
      <c r="K103" s="1855"/>
      <c r="L103" s="2115" t="s">
        <v>102</v>
      </c>
      <c r="M103" s="2115" t="s">
        <v>137</v>
      </c>
      <c r="N103" s="2511" t="str">
        <f>IF(Z103="","",INDEX(TERRITORY_MR_LIST,MATCH(Z103,TERRITORY_LIST_ID,0)))</f>
        <v>Территория 9</v>
      </c>
      <c r="O103" s="2192" t="s">
        <v>66</v>
      </c>
      <c r="P103" s="2115"/>
      <c r="Q103" s="2115" t="s">
        <v>108</v>
      </c>
      <c r="R103" s="2509" t="s">
        <v>140</v>
      </c>
      <c r="S103" s="2413" t="s">
        <v>19</v>
      </c>
      <c r="T103" s="1809"/>
      <c r="U103" s="1809" t="s">
        <v>108</v>
      </c>
      <c r="V103" s="1441"/>
      <c r="W103" s="2508"/>
      <c r="X103" s="1860"/>
      <c r="Y103" s="1274"/>
      <c r="Z103" s="1274" t="s">
        <v>138</v>
      </c>
      <c r="AA103" s="1274"/>
      <c r="AB103" s="1274"/>
      <c r="AC103" s="1981" t="s">
        <v>312</v>
      </c>
      <c r="AD103" s="1981" t="s">
        <v>313</v>
      </c>
      <c r="AE103" s="1274" t="s">
        <v>343</v>
      </c>
      <c r="AF103" s="1274" t="s">
        <v>344</v>
      </c>
      <c r="AG103" s="1274" t="s">
        <v>345</v>
      </c>
      <c r="AH103" s="1274" t="str">
        <f>IF($E$79=0,"",$E$79)</f>
        <v>Тариф на питьевую воду (питьевое водоснабжение)</v>
      </c>
      <c r="AI103" s="1274" t="str">
        <f>IF($G$79=0,"",$G$79)</f>
        <v>Холодное водоснабжение. Питьевая вода</v>
      </c>
      <c r="AJ103" s="1274" t="str">
        <f>IF($J$79=0,"",$J$79)</f>
        <v>Холодное водоснабжение. Питьевая вода</v>
      </c>
      <c r="AK103" s="1274" t="str">
        <f>IF($K$103="нет","без дифференциации",IF($N$103=0,"",$N$103))</f>
        <v>Территория 9</v>
      </c>
      <c r="AL103" s="1851" t="str">
        <f>IF($O$103="нет","без дифференциации",IF($R$103=0,"",$R$103))</f>
        <v>Корочанский район</v>
      </c>
      <c r="AM103" s="1851"/>
      <c r="AN103" s="1274">
        <f>$I$79</f>
        <v>1</v>
      </c>
      <c r="AO103" s="1274" t="str">
        <f>$I$79&amp;"."&amp;$M$103</f>
        <v>1.9</v>
      </c>
      <c r="AP103" s="1274" t="str">
        <f>$I$79&amp;"."&amp;$M$103&amp;"."&amp;$Q$103</f>
        <v>1.9.1</v>
      </c>
      <c r="AQ103" s="1274"/>
      <c r="AR103" s="1860"/>
    </row>
    <row customHeight="1" ht="17.25">
      <c r="A104" s="1847"/>
      <c r="B104" s="1860"/>
      <c r="C104" s="1852"/>
      <c r="D104" s="1837"/>
      <c r="E104" s="1854"/>
      <c r="F104" s="1791"/>
      <c r="G104" s="1855"/>
      <c r="H104" s="1837"/>
      <c r="I104" s="1837"/>
      <c r="J104" s="1858"/>
      <c r="K104" s="1855"/>
      <c r="L104" s="2115"/>
      <c r="M104" s="2115"/>
      <c r="N104" s="2511"/>
      <c r="O104" s="2193"/>
      <c r="P104" s="2115"/>
      <c r="Q104" s="2115"/>
      <c r="R104" s="2509"/>
      <c r="S104" s="2413"/>
      <c r="T104" s="1442"/>
      <c r="U104" s="1443"/>
      <c r="V104" s="1443"/>
      <c r="W104" s="2508"/>
      <c r="X104" s="1860"/>
      <c r="Y104" s="1266"/>
      <c r="Z104" s="1266"/>
      <c r="AA104" s="1266"/>
      <c r="AB104" s="1266"/>
      <c r="AC104" s="1266"/>
      <c r="AD104" s="1266"/>
      <c r="AE104" s="1266"/>
      <c r="AF104" s="1266"/>
      <c r="AG104" s="1266"/>
      <c r="AH104" s="1266"/>
      <c r="AI104" s="1266"/>
      <c r="AJ104" s="1266"/>
      <c r="AK104" s="1266"/>
      <c r="AL104" s="1860"/>
      <c r="AM104" s="1860"/>
      <c r="AN104" s="1860"/>
      <c r="AO104" s="1860"/>
      <c r="AP104" s="1860"/>
      <c r="AQ104" s="1860"/>
      <c r="AR104" s="1860"/>
    </row>
    <row customHeight="1" ht="17.25">
      <c r="A105" s="1847"/>
      <c r="B105" s="1860"/>
      <c r="C105" s="1852"/>
      <c r="D105" s="1837"/>
      <c r="E105" s="1854"/>
      <c r="F105" s="1791"/>
      <c r="G105" s="1855"/>
      <c r="H105" s="1837"/>
      <c r="I105" s="1837"/>
      <c r="J105" s="1858"/>
      <c r="K105" s="1855"/>
      <c r="L105" s="2510"/>
      <c r="M105" s="2510"/>
      <c r="N105" s="2512"/>
      <c r="O105" s="2119"/>
      <c r="P105" s="324"/>
      <c r="Q105" s="325"/>
      <c r="R105" s="325" t="s">
        <v>316</v>
      </c>
      <c r="S105" s="1853"/>
      <c r="T105" s="1853"/>
      <c r="U105" s="1853"/>
      <c r="V105" s="1853"/>
      <c r="W105" s="1440"/>
      <c r="X105" s="1860"/>
      <c r="Y105" s="1266"/>
      <c r="Z105" s="1266"/>
      <c r="AA105" s="1266"/>
      <c r="AB105" s="1266"/>
      <c r="AC105" s="1266"/>
      <c r="AD105" s="1266"/>
      <c r="AE105" s="1266"/>
      <c r="AF105" s="1266"/>
      <c r="AG105" s="1266"/>
      <c r="AH105" s="1266"/>
      <c r="AI105" s="1266"/>
      <c r="AJ105" s="1266"/>
      <c r="AK105" s="1266"/>
      <c r="AL105" s="1860"/>
      <c r="AM105" s="1860"/>
      <c r="AN105" s="1860"/>
      <c r="AO105" s="1860"/>
      <c r="AP105" s="1860"/>
      <c r="AQ105" s="1860"/>
      <c r="AR105" s="1860"/>
    </row>
    <row customHeight="1" ht="17.25">
      <c r="A106" s="1847"/>
      <c r="B106" s="1860"/>
      <c r="C106" s="1849"/>
      <c r="D106" s="1837"/>
      <c r="E106" s="1854"/>
      <c r="F106" s="1791"/>
      <c r="G106" s="1855"/>
      <c r="H106" s="1837"/>
      <c r="I106" s="1837"/>
      <c r="J106" s="1858"/>
      <c r="K106" s="1855"/>
      <c r="L106" s="2115" t="s">
        <v>102</v>
      </c>
      <c r="M106" s="2115" t="s">
        <v>142</v>
      </c>
      <c r="N106" s="2511" t="str">
        <f>IF(Z106="","",INDEX(TERRITORY_MR_LIST,MATCH(Z106,TERRITORY_LIST_ID,0)))</f>
        <v>Территория 10</v>
      </c>
      <c r="O106" s="2192" t="s">
        <v>66</v>
      </c>
      <c r="P106" s="2115"/>
      <c r="Q106" s="2115" t="s">
        <v>108</v>
      </c>
      <c r="R106" s="2509" t="s">
        <v>145</v>
      </c>
      <c r="S106" s="2413" t="s">
        <v>19</v>
      </c>
      <c r="T106" s="1809"/>
      <c r="U106" s="1809" t="s">
        <v>108</v>
      </c>
      <c r="V106" s="1441"/>
      <c r="W106" s="2508"/>
      <c r="X106" s="1860"/>
      <c r="Y106" s="1274"/>
      <c r="Z106" s="1274" t="s">
        <v>143</v>
      </c>
      <c r="AA106" s="1274"/>
      <c r="AB106" s="1274"/>
      <c r="AC106" s="1981" t="s">
        <v>312</v>
      </c>
      <c r="AD106" s="1981" t="s">
        <v>313</v>
      </c>
      <c r="AE106" s="1274" t="s">
        <v>346</v>
      </c>
      <c r="AF106" s="1274" t="s">
        <v>347</v>
      </c>
      <c r="AG106" s="1274" t="s">
        <v>348</v>
      </c>
      <c r="AH106" s="1274" t="str">
        <f>IF($E$79=0,"",$E$79)</f>
        <v>Тариф на питьевую воду (питьевое водоснабжение)</v>
      </c>
      <c r="AI106" s="1274" t="str">
        <f>IF($G$79=0,"",$G$79)</f>
        <v>Холодное водоснабжение. Питьевая вода</v>
      </c>
      <c r="AJ106" s="1274" t="str">
        <f>IF($J$79=0,"",$J$79)</f>
        <v>Холодное водоснабжение. Питьевая вода</v>
      </c>
      <c r="AK106" s="1274" t="str">
        <f>IF($K$106="нет","без дифференциации",IF($N$106=0,"",$N$106))</f>
        <v>Территория 10</v>
      </c>
      <c r="AL106" s="1851" t="str">
        <f>IF($O$106="нет","без дифференциации",IF($R$106=0,"",$R$106))</f>
        <v>Красненский район</v>
      </c>
      <c r="AM106" s="1851"/>
      <c r="AN106" s="1274">
        <f>$I$79</f>
        <v>1</v>
      </c>
      <c r="AO106" s="1274" t="str">
        <f>$I$79&amp;"."&amp;$M$106</f>
        <v>1.10</v>
      </c>
      <c r="AP106" s="1274" t="str">
        <f>$I$79&amp;"."&amp;$M$106&amp;"."&amp;$Q$106</f>
        <v>1.10.1</v>
      </c>
      <c r="AQ106" s="1274"/>
      <c r="AR106" s="1860"/>
    </row>
    <row customHeight="1" ht="17.25">
      <c r="A107" s="1847"/>
      <c r="B107" s="1860"/>
      <c r="C107" s="1852"/>
      <c r="D107" s="1837"/>
      <c r="E107" s="1854"/>
      <c r="F107" s="1791"/>
      <c r="G107" s="1855"/>
      <c r="H107" s="1837"/>
      <c r="I107" s="1837"/>
      <c r="J107" s="1858"/>
      <c r="K107" s="1855"/>
      <c r="L107" s="2115"/>
      <c r="M107" s="2115"/>
      <c r="N107" s="2511"/>
      <c r="O107" s="2193"/>
      <c r="P107" s="2115"/>
      <c r="Q107" s="2115"/>
      <c r="R107" s="2509"/>
      <c r="S107" s="2413"/>
      <c r="T107" s="1442"/>
      <c r="U107" s="1443"/>
      <c r="V107" s="1443"/>
      <c r="W107" s="2508"/>
      <c r="X107" s="1860"/>
      <c r="Y107" s="1266"/>
      <c r="Z107" s="1266"/>
      <c r="AA107" s="1266"/>
      <c r="AB107" s="1266"/>
      <c r="AC107" s="1266"/>
      <c r="AD107" s="1266"/>
      <c r="AE107" s="1266"/>
      <c r="AF107" s="1266"/>
      <c r="AG107" s="1266"/>
      <c r="AH107" s="1266"/>
      <c r="AI107" s="1266"/>
      <c r="AJ107" s="1266"/>
      <c r="AK107" s="1266"/>
      <c r="AL107" s="1860"/>
      <c r="AM107" s="1860"/>
      <c r="AN107" s="1860"/>
      <c r="AO107" s="1860"/>
      <c r="AP107" s="1860"/>
      <c r="AQ107" s="1860"/>
      <c r="AR107" s="1860"/>
    </row>
    <row customHeight="1" ht="17.25">
      <c r="A108" s="1847"/>
      <c r="B108" s="1860"/>
      <c r="C108" s="1852"/>
      <c r="D108" s="1837"/>
      <c r="E108" s="1854"/>
      <c r="F108" s="1791"/>
      <c r="G108" s="1855"/>
      <c r="H108" s="1837"/>
      <c r="I108" s="1837"/>
      <c r="J108" s="1858"/>
      <c r="K108" s="1855"/>
      <c r="L108" s="2510"/>
      <c r="M108" s="2510"/>
      <c r="N108" s="2512"/>
      <c r="O108" s="2119"/>
      <c r="P108" s="324"/>
      <c r="Q108" s="325"/>
      <c r="R108" s="325" t="s">
        <v>316</v>
      </c>
      <c r="S108" s="1853"/>
      <c r="T108" s="1853"/>
      <c r="U108" s="1853"/>
      <c r="V108" s="1853"/>
      <c r="W108" s="1440"/>
      <c r="X108" s="1860"/>
      <c r="Y108" s="1266"/>
      <c r="Z108" s="1266"/>
      <c r="AA108" s="1266"/>
      <c r="AB108" s="1266"/>
      <c r="AC108" s="1266"/>
      <c r="AD108" s="1266"/>
      <c r="AE108" s="1266"/>
      <c r="AF108" s="1266"/>
      <c r="AG108" s="1266"/>
      <c r="AH108" s="1266"/>
      <c r="AI108" s="1266"/>
      <c r="AJ108" s="1266"/>
      <c r="AK108" s="1266"/>
      <c r="AL108" s="1860"/>
      <c r="AM108" s="1860"/>
      <c r="AN108" s="1860"/>
      <c r="AO108" s="1860"/>
      <c r="AP108" s="1860"/>
      <c r="AQ108" s="1860"/>
      <c r="AR108" s="1860"/>
    </row>
    <row customHeight="1" ht="17.25">
      <c r="A109" s="1847"/>
      <c r="B109" s="1860"/>
      <c r="C109" s="1849"/>
      <c r="D109" s="1837"/>
      <c r="E109" s="1854"/>
      <c r="F109" s="1791"/>
      <c r="G109" s="1855"/>
      <c r="H109" s="1837"/>
      <c r="I109" s="1837"/>
      <c r="J109" s="1858"/>
      <c r="K109" s="1855"/>
      <c r="L109" s="2115" t="s">
        <v>102</v>
      </c>
      <c r="M109" s="2115" t="s">
        <v>147</v>
      </c>
      <c r="N109" s="2511" t="str">
        <f>IF(Z109="","",INDEX(TERRITORY_MR_LIST,MATCH(Z109,TERRITORY_LIST_ID,0)))</f>
        <v>Территория 11</v>
      </c>
      <c r="O109" s="2192" t="s">
        <v>66</v>
      </c>
      <c r="P109" s="2115"/>
      <c r="Q109" s="2115" t="s">
        <v>108</v>
      </c>
      <c r="R109" s="2509" t="s">
        <v>150</v>
      </c>
      <c r="S109" s="2413" t="s">
        <v>19</v>
      </c>
      <c r="T109" s="1809"/>
      <c r="U109" s="1809" t="s">
        <v>108</v>
      </c>
      <c r="V109" s="1441"/>
      <c r="W109" s="2508"/>
      <c r="X109" s="1860"/>
      <c r="Y109" s="1274"/>
      <c r="Z109" s="1274" t="s">
        <v>148</v>
      </c>
      <c r="AA109" s="1274"/>
      <c r="AB109" s="1274"/>
      <c r="AC109" s="1981" t="s">
        <v>312</v>
      </c>
      <c r="AD109" s="1981" t="s">
        <v>313</v>
      </c>
      <c r="AE109" s="1274" t="s">
        <v>349</v>
      </c>
      <c r="AF109" s="1274" t="s">
        <v>350</v>
      </c>
      <c r="AG109" s="1274" t="s">
        <v>351</v>
      </c>
      <c r="AH109" s="1274" t="str">
        <f>IF($E$79=0,"",$E$79)</f>
        <v>Тариф на питьевую воду (питьевое водоснабжение)</v>
      </c>
      <c r="AI109" s="1274" t="str">
        <f>IF($G$79=0,"",$G$79)</f>
        <v>Холодное водоснабжение. Питьевая вода</v>
      </c>
      <c r="AJ109" s="1274" t="str">
        <f>IF($J$79=0,"",$J$79)</f>
        <v>Холодное водоснабжение. Питьевая вода</v>
      </c>
      <c r="AK109" s="1274" t="str">
        <f>IF($K$109="нет","без дифференциации",IF($N$109=0,"",$N$109))</f>
        <v>Территория 11</v>
      </c>
      <c r="AL109" s="1851" t="str">
        <f>IF($O$109="нет","без дифференциации",IF($R$109=0,"",$R$109))</f>
        <v>Красногвардейский район</v>
      </c>
      <c r="AM109" s="1851"/>
      <c r="AN109" s="1274">
        <f>$I$79</f>
        <v>1</v>
      </c>
      <c r="AO109" s="1274" t="str">
        <f>$I$79&amp;"."&amp;$M$109</f>
        <v>1.11</v>
      </c>
      <c r="AP109" s="1274" t="str">
        <f>$I$79&amp;"."&amp;$M$109&amp;"."&amp;$Q$109</f>
        <v>1.11.1</v>
      </c>
      <c r="AQ109" s="1274"/>
      <c r="AR109" s="1860"/>
    </row>
    <row customHeight="1" ht="17.25">
      <c r="A110" s="1847"/>
      <c r="B110" s="1860"/>
      <c r="C110" s="1852"/>
      <c r="D110" s="1837"/>
      <c r="E110" s="1854"/>
      <c r="F110" s="1791"/>
      <c r="G110" s="1855"/>
      <c r="H110" s="1837"/>
      <c r="I110" s="1837"/>
      <c r="J110" s="1858"/>
      <c r="K110" s="1855"/>
      <c r="L110" s="2115"/>
      <c r="M110" s="2115"/>
      <c r="N110" s="2511"/>
      <c r="O110" s="2193"/>
      <c r="P110" s="2115"/>
      <c r="Q110" s="2115"/>
      <c r="R110" s="2509"/>
      <c r="S110" s="2413"/>
      <c r="T110" s="1442"/>
      <c r="U110" s="1443"/>
      <c r="V110" s="1443"/>
      <c r="W110" s="2508"/>
      <c r="X110" s="1860"/>
      <c r="Y110" s="1266"/>
      <c r="Z110" s="1266"/>
      <c r="AA110" s="1266"/>
      <c r="AB110" s="1266"/>
      <c r="AC110" s="1266"/>
      <c r="AD110" s="1266"/>
      <c r="AE110" s="1266"/>
      <c r="AF110" s="1266"/>
      <c r="AG110" s="1266"/>
      <c r="AH110" s="1266"/>
      <c r="AI110" s="1266"/>
      <c r="AJ110" s="1266"/>
      <c r="AK110" s="1266"/>
      <c r="AL110" s="1860"/>
      <c r="AM110" s="1860"/>
      <c r="AN110" s="1860"/>
      <c r="AO110" s="1860"/>
      <c r="AP110" s="1860"/>
      <c r="AQ110" s="1860"/>
      <c r="AR110" s="1860"/>
    </row>
    <row customHeight="1" ht="17.25">
      <c r="A111" s="1847"/>
      <c r="B111" s="1860"/>
      <c r="C111" s="1852"/>
      <c r="D111" s="1837"/>
      <c r="E111" s="1854"/>
      <c r="F111" s="1791"/>
      <c r="G111" s="1855"/>
      <c r="H111" s="1837"/>
      <c r="I111" s="1837"/>
      <c r="J111" s="1858"/>
      <c r="K111" s="1855"/>
      <c r="L111" s="2510"/>
      <c r="M111" s="2510"/>
      <c r="N111" s="2512"/>
      <c r="O111" s="2119"/>
      <c r="P111" s="324"/>
      <c r="Q111" s="325"/>
      <c r="R111" s="325" t="s">
        <v>316</v>
      </c>
      <c r="S111" s="1853"/>
      <c r="T111" s="1853"/>
      <c r="U111" s="1853"/>
      <c r="V111" s="1853"/>
      <c r="W111" s="1440"/>
      <c r="X111" s="1860"/>
      <c r="Y111" s="1266"/>
      <c r="Z111" s="1266"/>
      <c r="AA111" s="1266"/>
      <c r="AB111" s="1266"/>
      <c r="AC111" s="1266"/>
      <c r="AD111" s="1266"/>
      <c r="AE111" s="1266"/>
      <c r="AF111" s="1266"/>
      <c r="AG111" s="1266"/>
      <c r="AH111" s="1266"/>
      <c r="AI111" s="1266"/>
      <c r="AJ111" s="1266"/>
      <c r="AK111" s="1266"/>
      <c r="AL111" s="1860"/>
      <c r="AM111" s="1860"/>
      <c r="AN111" s="1860"/>
      <c r="AO111" s="1860"/>
      <c r="AP111" s="1860"/>
      <c r="AQ111" s="1860"/>
      <c r="AR111" s="1860"/>
    </row>
    <row customHeight="1" ht="17.25">
      <c r="A112" s="1847"/>
      <c r="B112" s="1860"/>
      <c r="C112" s="1849"/>
      <c r="D112" s="1837"/>
      <c r="E112" s="1854"/>
      <c r="F112" s="1791"/>
      <c r="G112" s="1855"/>
      <c r="H112" s="1837"/>
      <c r="I112" s="1837"/>
      <c r="J112" s="1858"/>
      <c r="K112" s="1855"/>
      <c r="L112" s="2115" t="s">
        <v>102</v>
      </c>
      <c r="M112" s="2115" t="s">
        <v>152</v>
      </c>
      <c r="N112" s="2511" t="str">
        <f>IF(Z112="","",INDEX(TERRITORY_MR_LIST,MATCH(Z112,TERRITORY_LIST_ID,0)))</f>
        <v>Территория 12</v>
      </c>
      <c r="O112" s="2192" t="s">
        <v>66</v>
      </c>
      <c r="P112" s="2115"/>
      <c r="Q112" s="2115" t="s">
        <v>108</v>
      </c>
      <c r="R112" s="2509" t="s">
        <v>155</v>
      </c>
      <c r="S112" s="2413" t="s">
        <v>19</v>
      </c>
      <c r="T112" s="1809"/>
      <c r="U112" s="1809" t="s">
        <v>108</v>
      </c>
      <c r="V112" s="1441"/>
      <c r="W112" s="2508"/>
      <c r="X112" s="1860"/>
      <c r="Y112" s="1274"/>
      <c r="Z112" s="1274" t="s">
        <v>153</v>
      </c>
      <c r="AA112" s="1274"/>
      <c r="AB112" s="1274"/>
      <c r="AC112" s="1981" t="s">
        <v>312</v>
      </c>
      <c r="AD112" s="1981" t="s">
        <v>313</v>
      </c>
      <c r="AE112" s="1274" t="s">
        <v>352</v>
      </c>
      <c r="AF112" s="1274" t="s">
        <v>353</v>
      </c>
      <c r="AG112" s="1274" t="s">
        <v>354</v>
      </c>
      <c r="AH112" s="1274" t="str">
        <f>IF($E$79=0,"",$E$79)</f>
        <v>Тариф на питьевую воду (питьевое водоснабжение)</v>
      </c>
      <c r="AI112" s="1274" t="str">
        <f>IF($G$79=0,"",$G$79)</f>
        <v>Холодное водоснабжение. Питьевая вода</v>
      </c>
      <c r="AJ112" s="1274" t="str">
        <f>IF($J$79=0,"",$J$79)</f>
        <v>Холодное водоснабжение. Питьевая вода</v>
      </c>
      <c r="AK112" s="1274" t="str">
        <f>IF($K$112="нет","без дифференциации",IF($N$112=0,"",$N$112))</f>
        <v>Территория 12</v>
      </c>
      <c r="AL112" s="1851" t="str">
        <f>IF($O$112="нет","без дифференциации",IF($R$112=0,"",$R$112))</f>
        <v>Краснояружский район</v>
      </c>
      <c r="AM112" s="1851"/>
      <c r="AN112" s="1274">
        <f>$I$79</f>
        <v>1</v>
      </c>
      <c r="AO112" s="1274" t="str">
        <f>$I$79&amp;"."&amp;$M$112</f>
        <v>1.12</v>
      </c>
      <c r="AP112" s="1274" t="str">
        <f>$I$79&amp;"."&amp;$M$112&amp;"."&amp;$Q$112</f>
        <v>1.12.1</v>
      </c>
      <c r="AQ112" s="1274"/>
      <c r="AR112" s="1860"/>
    </row>
    <row customHeight="1" ht="17.25">
      <c r="A113" s="1847"/>
      <c r="B113" s="1860"/>
      <c r="C113" s="1852"/>
      <c r="D113" s="1837"/>
      <c r="E113" s="1854"/>
      <c r="F113" s="1791"/>
      <c r="G113" s="1855"/>
      <c r="H113" s="1837"/>
      <c r="I113" s="1837"/>
      <c r="J113" s="1858"/>
      <c r="K113" s="1855"/>
      <c r="L113" s="2115"/>
      <c r="M113" s="2115"/>
      <c r="N113" s="2511"/>
      <c r="O113" s="2193"/>
      <c r="P113" s="2115"/>
      <c r="Q113" s="2115"/>
      <c r="R113" s="2509"/>
      <c r="S113" s="2413"/>
      <c r="T113" s="1442"/>
      <c r="U113" s="1443"/>
      <c r="V113" s="1443"/>
      <c r="W113" s="2508"/>
      <c r="X113" s="1860"/>
      <c r="Y113" s="1266"/>
      <c r="Z113" s="1266"/>
      <c r="AA113" s="1266"/>
      <c r="AB113" s="1266"/>
      <c r="AC113" s="1266"/>
      <c r="AD113" s="1266"/>
      <c r="AE113" s="1266"/>
      <c r="AF113" s="1266"/>
      <c r="AG113" s="1266"/>
      <c r="AH113" s="1266"/>
      <c r="AI113" s="1266"/>
      <c r="AJ113" s="1266"/>
      <c r="AK113" s="1266"/>
      <c r="AL113" s="1860"/>
      <c r="AM113" s="1860"/>
      <c r="AN113" s="1860"/>
      <c r="AO113" s="1860"/>
      <c r="AP113" s="1860"/>
      <c r="AQ113" s="1860"/>
      <c r="AR113" s="1860"/>
    </row>
    <row customHeight="1" ht="17.25">
      <c r="A114" s="1847"/>
      <c r="B114" s="1860"/>
      <c r="C114" s="1852"/>
      <c r="D114" s="1837"/>
      <c r="E114" s="1854"/>
      <c r="F114" s="1791"/>
      <c r="G114" s="1855"/>
      <c r="H114" s="1837"/>
      <c r="I114" s="1837"/>
      <c r="J114" s="1858"/>
      <c r="K114" s="1855"/>
      <c r="L114" s="2510"/>
      <c r="M114" s="2510"/>
      <c r="N114" s="2512"/>
      <c r="O114" s="2119"/>
      <c r="P114" s="324"/>
      <c r="Q114" s="325"/>
      <c r="R114" s="325" t="s">
        <v>316</v>
      </c>
      <c r="S114" s="1853"/>
      <c r="T114" s="1853"/>
      <c r="U114" s="1853"/>
      <c r="V114" s="1853"/>
      <c r="W114" s="1440"/>
      <c r="X114" s="1860"/>
      <c r="Y114" s="1266"/>
      <c r="Z114" s="1266"/>
      <c r="AA114" s="1266"/>
      <c r="AB114" s="1266"/>
      <c r="AC114" s="1266"/>
      <c r="AD114" s="1266"/>
      <c r="AE114" s="1266"/>
      <c r="AF114" s="1266"/>
      <c r="AG114" s="1266"/>
      <c r="AH114" s="1266"/>
      <c r="AI114" s="1266"/>
      <c r="AJ114" s="1266"/>
      <c r="AK114" s="1266"/>
      <c r="AL114" s="1860"/>
      <c r="AM114" s="1860"/>
      <c r="AN114" s="1860"/>
      <c r="AO114" s="1860"/>
      <c r="AP114" s="1860"/>
      <c r="AQ114" s="1860"/>
      <c r="AR114" s="1860"/>
    </row>
    <row customHeight="1" ht="17.25">
      <c r="A115" s="1847"/>
      <c r="B115" s="1860"/>
      <c r="C115" s="1849"/>
      <c r="D115" s="1837"/>
      <c r="E115" s="1854"/>
      <c r="F115" s="1791"/>
      <c r="G115" s="1855"/>
      <c r="H115" s="1837"/>
      <c r="I115" s="1837"/>
      <c r="J115" s="1858"/>
      <c r="K115" s="1855"/>
      <c r="L115" s="2115" t="s">
        <v>102</v>
      </c>
      <c r="M115" s="2115" t="s">
        <v>157</v>
      </c>
      <c r="N115" s="2511" t="str">
        <f>IF(Z115="","",INDEX(TERRITORY_MR_LIST,MATCH(Z115,TERRITORY_LIST_ID,0)))</f>
        <v>Территория 13</v>
      </c>
      <c r="O115" s="2192" t="s">
        <v>66</v>
      </c>
      <c r="P115" s="2115"/>
      <c r="Q115" s="2115" t="s">
        <v>108</v>
      </c>
      <c r="R115" s="2509" t="s">
        <v>355</v>
      </c>
      <c r="S115" s="2413" t="s">
        <v>19</v>
      </c>
      <c r="T115" s="1809"/>
      <c r="U115" s="1809" t="s">
        <v>108</v>
      </c>
      <c r="V115" s="1441"/>
      <c r="W115" s="2508"/>
      <c r="X115" s="1860"/>
      <c r="Y115" s="1274"/>
      <c r="Z115" s="1274" t="s">
        <v>158</v>
      </c>
      <c r="AA115" s="1274"/>
      <c r="AB115" s="1274"/>
      <c r="AC115" s="1981" t="s">
        <v>312</v>
      </c>
      <c r="AD115" s="1981" t="s">
        <v>313</v>
      </c>
      <c r="AE115" s="1274" t="s">
        <v>356</v>
      </c>
      <c r="AF115" s="1274" t="s">
        <v>357</v>
      </c>
      <c r="AG115" s="1274" t="s">
        <v>358</v>
      </c>
      <c r="AH115" s="1274" t="str">
        <f>IF($E$79=0,"",$E$79)</f>
        <v>Тариф на питьевую воду (питьевое водоснабжение)</v>
      </c>
      <c r="AI115" s="1274" t="str">
        <f>IF($G$79=0,"",$G$79)</f>
        <v>Холодное водоснабжение. Питьевая вода</v>
      </c>
      <c r="AJ115" s="1274" t="str">
        <f>IF($J$79=0,"",$J$79)</f>
        <v>Холодное водоснабжение. Питьевая вода</v>
      </c>
      <c r="AK115" s="1274" t="str">
        <f>IF($K$115="нет","без дифференциации",IF($N$115=0,"",$N$115))</f>
        <v>Территория 13</v>
      </c>
      <c r="AL115" s="1851" t="str">
        <f>IF($O$115="нет","без дифференциации",IF($R$115=0,"",$R$115))</f>
        <v>Новооскольский район</v>
      </c>
      <c r="AM115" s="1851"/>
      <c r="AN115" s="1274">
        <f>$I$79</f>
        <v>1</v>
      </c>
      <c r="AO115" s="1274" t="str">
        <f>$I$79&amp;"."&amp;$M$115</f>
        <v>1.13</v>
      </c>
      <c r="AP115" s="1274" t="str">
        <f>$I$79&amp;"."&amp;$M$115&amp;"."&amp;$Q$115</f>
        <v>1.13.1</v>
      </c>
      <c r="AQ115" s="1274"/>
      <c r="AR115" s="1860"/>
    </row>
    <row customHeight="1" ht="17.25">
      <c r="A116" s="1847"/>
      <c r="B116" s="1860"/>
      <c r="C116" s="1852"/>
      <c r="D116" s="1837"/>
      <c r="E116" s="1854"/>
      <c r="F116" s="1791"/>
      <c r="G116" s="1855"/>
      <c r="H116" s="1837"/>
      <c r="I116" s="1837"/>
      <c r="J116" s="1858"/>
      <c r="K116" s="1855"/>
      <c r="L116" s="2115"/>
      <c r="M116" s="2115"/>
      <c r="N116" s="2511"/>
      <c r="O116" s="2193"/>
      <c r="P116" s="2115"/>
      <c r="Q116" s="2115"/>
      <c r="R116" s="2509"/>
      <c r="S116" s="2413"/>
      <c r="T116" s="1442"/>
      <c r="U116" s="1443"/>
      <c r="V116" s="1443"/>
      <c r="W116" s="2508"/>
      <c r="X116" s="1860"/>
      <c r="Y116" s="1266"/>
      <c r="Z116" s="1266"/>
      <c r="AA116" s="1266"/>
      <c r="AB116" s="1266"/>
      <c r="AC116" s="1266"/>
      <c r="AD116" s="1266"/>
      <c r="AE116" s="1266"/>
      <c r="AF116" s="1266"/>
      <c r="AG116" s="1266"/>
      <c r="AH116" s="1266"/>
      <c r="AI116" s="1266"/>
      <c r="AJ116" s="1266"/>
      <c r="AK116" s="1266"/>
      <c r="AL116" s="1860"/>
      <c r="AM116" s="1860"/>
      <c r="AN116" s="1860"/>
      <c r="AO116" s="1860"/>
      <c r="AP116" s="1860"/>
      <c r="AQ116" s="1860"/>
      <c r="AR116" s="1860"/>
    </row>
    <row customHeight="1" ht="17.25">
      <c r="A117" s="1847"/>
      <c r="B117" s="1860"/>
      <c r="C117" s="1852"/>
      <c r="D117" s="1837"/>
      <c r="E117" s="1854"/>
      <c r="F117" s="1791"/>
      <c r="G117" s="1855"/>
      <c r="H117" s="1837"/>
      <c r="I117" s="1837"/>
      <c r="J117" s="1858"/>
      <c r="K117" s="1855"/>
      <c r="L117" s="2510"/>
      <c r="M117" s="2510"/>
      <c r="N117" s="2512"/>
      <c r="O117" s="2119"/>
      <c r="P117" s="324"/>
      <c r="Q117" s="325"/>
      <c r="R117" s="325" t="s">
        <v>316</v>
      </c>
      <c r="S117" s="1853"/>
      <c r="T117" s="1853"/>
      <c r="U117" s="1853"/>
      <c r="V117" s="1853"/>
      <c r="W117" s="1440"/>
      <c r="X117" s="1860"/>
      <c r="Y117" s="1266"/>
      <c r="Z117" s="1266"/>
      <c r="AA117" s="1266"/>
      <c r="AB117" s="1266"/>
      <c r="AC117" s="1266"/>
      <c r="AD117" s="1266"/>
      <c r="AE117" s="1266"/>
      <c r="AF117" s="1266"/>
      <c r="AG117" s="1266"/>
      <c r="AH117" s="1266"/>
      <c r="AI117" s="1266"/>
      <c r="AJ117" s="1266"/>
      <c r="AK117" s="1266"/>
      <c r="AL117" s="1860"/>
      <c r="AM117" s="1860"/>
      <c r="AN117" s="1860"/>
      <c r="AO117" s="1860"/>
      <c r="AP117" s="1860"/>
      <c r="AQ117" s="1860"/>
      <c r="AR117" s="1860"/>
    </row>
    <row customHeight="1" ht="17.25">
      <c r="A118" s="1847"/>
      <c r="B118" s="1860"/>
      <c r="C118" s="1849"/>
      <c r="D118" s="1837"/>
      <c r="E118" s="1854"/>
      <c r="F118" s="1791"/>
      <c r="G118" s="1855"/>
      <c r="H118" s="1837"/>
      <c r="I118" s="1837"/>
      <c r="J118" s="1858"/>
      <c r="K118" s="1855"/>
      <c r="L118" s="2115" t="s">
        <v>102</v>
      </c>
      <c r="M118" s="2115" t="s">
        <v>162</v>
      </c>
      <c r="N118" s="2511" t="str">
        <f>IF(Z118="","",INDEX(TERRITORY_MR_LIST,MATCH(Z118,TERRITORY_LIST_ID,0)))</f>
        <v>Территория 14</v>
      </c>
      <c r="O118" s="2192" t="s">
        <v>66</v>
      </c>
      <c r="P118" s="2115"/>
      <c r="Q118" s="2115" t="s">
        <v>108</v>
      </c>
      <c r="R118" s="2509" t="s">
        <v>165</v>
      </c>
      <c r="S118" s="2413" t="s">
        <v>19</v>
      </c>
      <c r="T118" s="1809"/>
      <c r="U118" s="1809" t="s">
        <v>108</v>
      </c>
      <c r="V118" s="1441"/>
      <c r="W118" s="2508"/>
      <c r="X118" s="1860"/>
      <c r="Y118" s="1274"/>
      <c r="Z118" s="1274" t="s">
        <v>163</v>
      </c>
      <c r="AA118" s="1274"/>
      <c r="AB118" s="1274"/>
      <c r="AC118" s="1981" t="s">
        <v>312</v>
      </c>
      <c r="AD118" s="1981" t="s">
        <v>313</v>
      </c>
      <c r="AE118" s="1274" t="s">
        <v>359</v>
      </c>
      <c r="AF118" s="1274" t="s">
        <v>360</v>
      </c>
      <c r="AG118" s="1274" t="s">
        <v>361</v>
      </c>
      <c r="AH118" s="1274" t="str">
        <f>IF($E$79=0,"",$E$79)</f>
        <v>Тариф на питьевую воду (питьевое водоснабжение)</v>
      </c>
      <c r="AI118" s="1274" t="str">
        <f>IF($G$79=0,"",$G$79)</f>
        <v>Холодное водоснабжение. Питьевая вода</v>
      </c>
      <c r="AJ118" s="1274" t="str">
        <f>IF($J$79=0,"",$J$79)</f>
        <v>Холодное водоснабжение. Питьевая вода</v>
      </c>
      <c r="AK118" s="1274" t="str">
        <f>IF($K$118="нет","без дифференциации",IF($N$118=0,"",$N$118))</f>
        <v>Территория 14</v>
      </c>
      <c r="AL118" s="1851" t="str">
        <f>IF($O$118="нет","без дифференциации",IF($R$118=0,"",$R$118))</f>
        <v>Прохоровский район</v>
      </c>
      <c r="AM118" s="1851"/>
      <c r="AN118" s="1274">
        <f>$I$79</f>
        <v>1</v>
      </c>
      <c r="AO118" s="1274" t="str">
        <f>$I$79&amp;"."&amp;$M$118</f>
        <v>1.14</v>
      </c>
      <c r="AP118" s="1274" t="str">
        <f>$I$79&amp;"."&amp;$M$118&amp;"."&amp;$Q$118</f>
        <v>1.14.1</v>
      </c>
      <c r="AQ118" s="1274"/>
      <c r="AR118" s="1860"/>
    </row>
    <row customHeight="1" ht="17.25">
      <c r="A119" s="1847"/>
      <c r="B119" s="1860"/>
      <c r="C119" s="1852"/>
      <c r="D119" s="1837"/>
      <c r="E119" s="1854"/>
      <c r="F119" s="1791"/>
      <c r="G119" s="1855"/>
      <c r="H119" s="1837"/>
      <c r="I119" s="1837"/>
      <c r="J119" s="1858"/>
      <c r="K119" s="1855"/>
      <c r="L119" s="2115"/>
      <c r="M119" s="2115"/>
      <c r="N119" s="2511"/>
      <c r="O119" s="2193"/>
      <c r="P119" s="2115"/>
      <c r="Q119" s="2115"/>
      <c r="R119" s="2509"/>
      <c r="S119" s="2413"/>
      <c r="T119" s="1442"/>
      <c r="U119" s="1443"/>
      <c r="V119" s="1443"/>
      <c r="W119" s="2508"/>
      <c r="X119" s="1860"/>
      <c r="Y119" s="1266"/>
      <c r="Z119" s="1266"/>
      <c r="AA119" s="1266"/>
      <c r="AB119" s="1266"/>
      <c r="AC119" s="1266"/>
      <c r="AD119" s="1266"/>
      <c r="AE119" s="1266"/>
      <c r="AF119" s="1266"/>
      <c r="AG119" s="1266"/>
      <c r="AH119" s="1266"/>
      <c r="AI119" s="1266"/>
      <c r="AJ119" s="1266"/>
      <c r="AK119" s="1266"/>
      <c r="AL119" s="1860"/>
      <c r="AM119" s="1860"/>
      <c r="AN119" s="1860"/>
      <c r="AO119" s="1860"/>
      <c r="AP119" s="1860"/>
      <c r="AQ119" s="1860"/>
      <c r="AR119" s="1860"/>
    </row>
    <row customHeight="1" ht="17.25">
      <c r="A120" s="1847"/>
      <c r="B120" s="1860"/>
      <c r="C120" s="1852"/>
      <c r="D120" s="1837"/>
      <c r="E120" s="1854"/>
      <c r="F120" s="1791"/>
      <c r="G120" s="1855"/>
      <c r="H120" s="1837"/>
      <c r="I120" s="1837"/>
      <c r="J120" s="1858"/>
      <c r="K120" s="1855"/>
      <c r="L120" s="2510"/>
      <c r="M120" s="2510"/>
      <c r="N120" s="2512"/>
      <c r="O120" s="2119"/>
      <c r="P120" s="324"/>
      <c r="Q120" s="325"/>
      <c r="R120" s="325" t="s">
        <v>316</v>
      </c>
      <c r="S120" s="1853"/>
      <c r="T120" s="1853"/>
      <c r="U120" s="1853"/>
      <c r="V120" s="1853"/>
      <c r="W120" s="1440"/>
      <c r="X120" s="1860"/>
      <c r="Y120" s="1266"/>
      <c r="Z120" s="1266"/>
      <c r="AA120" s="1266"/>
      <c r="AB120" s="1266"/>
      <c r="AC120" s="1266"/>
      <c r="AD120" s="1266"/>
      <c r="AE120" s="1266"/>
      <c r="AF120" s="1266"/>
      <c r="AG120" s="1266"/>
      <c r="AH120" s="1266"/>
      <c r="AI120" s="1266"/>
      <c r="AJ120" s="1266"/>
      <c r="AK120" s="1266"/>
      <c r="AL120" s="1860"/>
      <c r="AM120" s="1860"/>
      <c r="AN120" s="1860"/>
      <c r="AO120" s="1860"/>
      <c r="AP120" s="1860"/>
      <c r="AQ120" s="1860"/>
      <c r="AR120" s="1860"/>
    </row>
    <row customHeight="1" ht="17.25">
      <c r="A121" s="1847"/>
      <c r="B121" s="1860"/>
      <c r="C121" s="1849"/>
      <c r="D121" s="1837"/>
      <c r="E121" s="1854"/>
      <c r="F121" s="1791"/>
      <c r="G121" s="1855"/>
      <c r="H121" s="1837"/>
      <c r="I121" s="1837"/>
      <c r="J121" s="1858"/>
      <c r="K121" s="1855"/>
      <c r="L121" s="2115" t="s">
        <v>102</v>
      </c>
      <c r="M121" s="2115" t="s">
        <v>167</v>
      </c>
      <c r="N121" s="2511" t="str">
        <f>IF(Z121="","",INDEX(TERRITORY_MR_LIST,MATCH(Z121,TERRITORY_LIST_ID,0)))</f>
        <v>Территория 15</v>
      </c>
      <c r="O121" s="2192" t="s">
        <v>66</v>
      </c>
      <c r="P121" s="2115"/>
      <c r="Q121" s="2115" t="s">
        <v>108</v>
      </c>
      <c r="R121" s="2509" t="s">
        <v>362</v>
      </c>
      <c r="S121" s="2413" t="s">
        <v>19</v>
      </c>
      <c r="T121" s="1809"/>
      <c r="U121" s="1809" t="s">
        <v>108</v>
      </c>
      <c r="V121" s="1441"/>
      <c r="W121" s="2508"/>
      <c r="X121" s="1860"/>
      <c r="Y121" s="1274"/>
      <c r="Z121" s="1274" t="s">
        <v>168</v>
      </c>
      <c r="AA121" s="1274"/>
      <c r="AB121" s="1274"/>
      <c r="AC121" s="1981" t="s">
        <v>312</v>
      </c>
      <c r="AD121" s="1981" t="s">
        <v>313</v>
      </c>
      <c r="AE121" s="1274" t="s">
        <v>363</v>
      </c>
      <c r="AF121" s="1274" t="s">
        <v>364</v>
      </c>
      <c r="AG121" s="1274" t="s">
        <v>365</v>
      </c>
      <c r="AH121" s="1274" t="str">
        <f>IF($E$79=0,"",$E$79)</f>
        <v>Тариф на питьевую воду (питьевое водоснабжение)</v>
      </c>
      <c r="AI121" s="1274" t="str">
        <f>IF($G$79=0,"",$G$79)</f>
        <v>Холодное водоснабжение. Питьевая вода</v>
      </c>
      <c r="AJ121" s="1274" t="str">
        <f>IF($J$79=0,"",$J$79)</f>
        <v>Холодное водоснабжение. Питьевая вода</v>
      </c>
      <c r="AK121" s="1274" t="str">
        <f>IF($K$121="нет","без дифференциации",IF($N$121=0,"",$N$121))</f>
        <v>Территория 15</v>
      </c>
      <c r="AL121" s="1851" t="str">
        <f>IF($O$121="нет","без дифференциации",IF($R$121=0,"",$R$121))</f>
        <v>Ракитянский район</v>
      </c>
      <c r="AM121" s="1851"/>
      <c r="AN121" s="1274">
        <f>$I$79</f>
        <v>1</v>
      </c>
      <c r="AO121" s="1274" t="str">
        <f>$I$79&amp;"."&amp;$M$121</f>
        <v>1.15</v>
      </c>
      <c r="AP121" s="1274" t="str">
        <f>$I$79&amp;"."&amp;$M$121&amp;"."&amp;$Q$121</f>
        <v>1.15.1</v>
      </c>
      <c r="AQ121" s="1274"/>
      <c r="AR121" s="1860"/>
    </row>
    <row customHeight="1" ht="17.25">
      <c r="A122" s="1847"/>
      <c r="B122" s="1860"/>
      <c r="C122" s="1852"/>
      <c r="D122" s="1837"/>
      <c r="E122" s="1854"/>
      <c r="F122" s="1791"/>
      <c r="G122" s="1855"/>
      <c r="H122" s="1837"/>
      <c r="I122" s="1837"/>
      <c r="J122" s="1858"/>
      <c r="K122" s="1855"/>
      <c r="L122" s="2115"/>
      <c r="M122" s="2115"/>
      <c r="N122" s="2511"/>
      <c r="O122" s="2193"/>
      <c r="P122" s="2115"/>
      <c r="Q122" s="2115"/>
      <c r="R122" s="2509"/>
      <c r="S122" s="2413"/>
      <c r="T122" s="1442"/>
      <c r="U122" s="1443"/>
      <c r="V122" s="1443"/>
      <c r="W122" s="2508"/>
      <c r="X122" s="1860"/>
      <c r="Y122" s="1266"/>
      <c r="Z122" s="1266"/>
      <c r="AA122" s="1266"/>
      <c r="AB122" s="1266"/>
      <c r="AC122" s="1266"/>
      <c r="AD122" s="1266"/>
      <c r="AE122" s="1266"/>
      <c r="AF122" s="1266"/>
      <c r="AG122" s="1266"/>
      <c r="AH122" s="1266"/>
      <c r="AI122" s="1266"/>
      <c r="AJ122" s="1266"/>
      <c r="AK122" s="1266"/>
      <c r="AL122" s="1860"/>
      <c r="AM122" s="1860"/>
      <c r="AN122" s="1860"/>
      <c r="AO122" s="1860"/>
      <c r="AP122" s="1860"/>
      <c r="AQ122" s="1860"/>
      <c r="AR122" s="1860"/>
    </row>
    <row customHeight="1" ht="17.25">
      <c r="A123" s="1847"/>
      <c r="B123" s="1860"/>
      <c r="C123" s="1852"/>
      <c r="D123" s="1837"/>
      <c r="E123" s="1854"/>
      <c r="F123" s="1791"/>
      <c r="G123" s="1855"/>
      <c r="H123" s="1837"/>
      <c r="I123" s="1837"/>
      <c r="J123" s="1858"/>
      <c r="K123" s="1855"/>
      <c r="L123" s="2510"/>
      <c r="M123" s="2510"/>
      <c r="N123" s="2512"/>
      <c r="O123" s="2119"/>
      <c r="P123" s="324"/>
      <c r="Q123" s="325"/>
      <c r="R123" s="325" t="s">
        <v>316</v>
      </c>
      <c r="S123" s="1853"/>
      <c r="T123" s="1853"/>
      <c r="U123" s="1853"/>
      <c r="V123" s="1853"/>
      <c r="W123" s="1440"/>
      <c r="X123" s="1860"/>
      <c r="Y123" s="1266"/>
      <c r="Z123" s="1266"/>
      <c r="AA123" s="1266"/>
      <c r="AB123" s="1266"/>
      <c r="AC123" s="1266"/>
      <c r="AD123" s="1266"/>
      <c r="AE123" s="1266"/>
      <c r="AF123" s="1266"/>
      <c r="AG123" s="1266"/>
      <c r="AH123" s="1266"/>
      <c r="AI123" s="1266"/>
      <c r="AJ123" s="1266"/>
      <c r="AK123" s="1266"/>
      <c r="AL123" s="1860"/>
      <c r="AM123" s="1860"/>
      <c r="AN123" s="1860"/>
      <c r="AO123" s="1860"/>
      <c r="AP123" s="1860"/>
      <c r="AQ123" s="1860"/>
      <c r="AR123" s="1860"/>
    </row>
    <row customHeight="1" ht="17.25">
      <c r="A124" s="1847"/>
      <c r="B124" s="1860"/>
      <c r="C124" s="1849"/>
      <c r="D124" s="1837"/>
      <c r="E124" s="1854"/>
      <c r="F124" s="1791"/>
      <c r="G124" s="1855"/>
      <c r="H124" s="1837"/>
      <c r="I124" s="1837"/>
      <c r="J124" s="1858"/>
      <c r="K124" s="1855"/>
      <c r="L124" s="2115" t="s">
        <v>102</v>
      </c>
      <c r="M124" s="2115" t="s">
        <v>172</v>
      </c>
      <c r="N124" s="2511" t="str">
        <f>IF(Z124="","",INDEX(TERRITORY_MR_LIST,MATCH(Z124,TERRITORY_LIST_ID,0)))</f>
        <v>Территория 16</v>
      </c>
      <c r="O124" s="2192" t="s">
        <v>66</v>
      </c>
      <c r="P124" s="2115"/>
      <c r="Q124" s="2115" t="s">
        <v>108</v>
      </c>
      <c r="R124" s="2509" t="s">
        <v>366</v>
      </c>
      <c r="S124" s="2413" t="s">
        <v>19</v>
      </c>
      <c r="T124" s="1809"/>
      <c r="U124" s="1809" t="s">
        <v>108</v>
      </c>
      <c r="V124" s="1441"/>
      <c r="W124" s="2508"/>
      <c r="X124" s="1860"/>
      <c r="Y124" s="1274"/>
      <c r="Z124" s="1274" t="s">
        <v>173</v>
      </c>
      <c r="AA124" s="1274"/>
      <c r="AB124" s="1274"/>
      <c r="AC124" s="1981" t="s">
        <v>312</v>
      </c>
      <c r="AD124" s="1981" t="s">
        <v>313</v>
      </c>
      <c r="AE124" s="1274" t="s">
        <v>367</v>
      </c>
      <c r="AF124" s="1274" t="s">
        <v>368</v>
      </c>
      <c r="AG124" s="1274" t="s">
        <v>369</v>
      </c>
      <c r="AH124" s="1274" t="str">
        <f>IF($E$79=0,"",$E$79)</f>
        <v>Тариф на питьевую воду (питьевое водоснабжение)</v>
      </c>
      <c r="AI124" s="1274" t="str">
        <f>IF($G$79=0,"",$G$79)</f>
        <v>Холодное водоснабжение. Питьевая вода</v>
      </c>
      <c r="AJ124" s="1274" t="str">
        <f>IF($J$79=0,"",$J$79)</f>
        <v>Холодное водоснабжение. Питьевая вода</v>
      </c>
      <c r="AK124" s="1274" t="str">
        <f>IF($K$124="нет","без дифференциации",IF($N$124=0,"",$N$124))</f>
        <v>Территория 16</v>
      </c>
      <c r="AL124" s="1851" t="str">
        <f>IF($O$124="нет","без дифференциации",IF($R$124=0,"",$R$124))</f>
        <v>Ровеньской район </v>
      </c>
      <c r="AM124" s="1851"/>
      <c r="AN124" s="1274">
        <f>$I$79</f>
        <v>1</v>
      </c>
      <c r="AO124" s="1274" t="str">
        <f>$I$79&amp;"."&amp;$M$124</f>
        <v>1.16</v>
      </c>
      <c r="AP124" s="1274" t="str">
        <f>$I$79&amp;"."&amp;$M$124&amp;"."&amp;$Q$124</f>
        <v>1.16.1</v>
      </c>
      <c r="AQ124" s="1274"/>
      <c r="AR124" s="1860"/>
    </row>
    <row customHeight="1" ht="17.25">
      <c r="A125" s="1847"/>
      <c r="B125" s="1860"/>
      <c r="C125" s="1852"/>
      <c r="D125" s="1837"/>
      <c r="E125" s="1854"/>
      <c r="F125" s="1791"/>
      <c r="G125" s="1855"/>
      <c r="H125" s="1837"/>
      <c r="I125" s="1837"/>
      <c r="J125" s="1858"/>
      <c r="K125" s="1855"/>
      <c r="L125" s="2115"/>
      <c r="M125" s="2115"/>
      <c r="N125" s="2511"/>
      <c r="O125" s="2193"/>
      <c r="P125" s="2115"/>
      <c r="Q125" s="2115"/>
      <c r="R125" s="2509"/>
      <c r="S125" s="2413"/>
      <c r="T125" s="1442"/>
      <c r="U125" s="1443"/>
      <c r="V125" s="1443"/>
      <c r="W125" s="2508"/>
      <c r="X125" s="1860"/>
      <c r="Y125" s="1266"/>
      <c r="Z125" s="1266"/>
      <c r="AA125" s="1266"/>
      <c r="AB125" s="1266"/>
      <c r="AC125" s="1266"/>
      <c r="AD125" s="1266"/>
      <c r="AE125" s="1266"/>
      <c r="AF125" s="1266"/>
      <c r="AG125" s="1266"/>
      <c r="AH125" s="1266"/>
      <c r="AI125" s="1266"/>
      <c r="AJ125" s="1266"/>
      <c r="AK125" s="1266"/>
      <c r="AL125" s="1860"/>
      <c r="AM125" s="1860"/>
      <c r="AN125" s="1860"/>
      <c r="AO125" s="1860"/>
      <c r="AP125" s="1860"/>
      <c r="AQ125" s="1860"/>
      <c r="AR125" s="1860"/>
    </row>
    <row customHeight="1" ht="17.25">
      <c r="A126" s="1847"/>
      <c r="B126" s="1860"/>
      <c r="C126" s="1852"/>
      <c r="D126" s="1837"/>
      <c r="E126" s="1854"/>
      <c r="F126" s="1791"/>
      <c r="G126" s="1855"/>
      <c r="H126" s="1837"/>
      <c r="I126" s="1837"/>
      <c r="J126" s="1858"/>
      <c r="K126" s="1855"/>
      <c r="L126" s="2510"/>
      <c r="M126" s="2510"/>
      <c r="N126" s="2512"/>
      <c r="O126" s="2119"/>
      <c r="P126" s="324"/>
      <c r="Q126" s="325"/>
      <c r="R126" s="325" t="s">
        <v>316</v>
      </c>
      <c r="S126" s="1853"/>
      <c r="T126" s="1853"/>
      <c r="U126" s="1853"/>
      <c r="V126" s="1853"/>
      <c r="W126" s="1440"/>
      <c r="X126" s="1860"/>
      <c r="Y126" s="1266"/>
      <c r="Z126" s="1266"/>
      <c r="AA126" s="1266"/>
      <c r="AB126" s="1266"/>
      <c r="AC126" s="1266"/>
      <c r="AD126" s="1266"/>
      <c r="AE126" s="1266"/>
      <c r="AF126" s="1266"/>
      <c r="AG126" s="1266"/>
      <c r="AH126" s="1266"/>
      <c r="AI126" s="1266"/>
      <c r="AJ126" s="1266"/>
      <c r="AK126" s="1266"/>
      <c r="AL126" s="1860"/>
      <c r="AM126" s="1860"/>
      <c r="AN126" s="1860"/>
      <c r="AO126" s="1860"/>
      <c r="AP126" s="1860"/>
      <c r="AQ126" s="1860"/>
      <c r="AR126" s="1860"/>
    </row>
    <row customHeight="1" ht="17.25">
      <c r="A127" s="1847"/>
      <c r="B127" s="1860"/>
      <c r="C127" s="1849"/>
      <c r="D127" s="1837"/>
      <c r="E127" s="1854"/>
      <c r="F127" s="1791"/>
      <c r="G127" s="1855"/>
      <c r="H127" s="1837"/>
      <c r="I127" s="1837"/>
      <c r="J127" s="1858"/>
      <c r="K127" s="1855"/>
      <c r="L127" s="2115" t="s">
        <v>102</v>
      </c>
      <c r="M127" s="2115" t="s">
        <v>177</v>
      </c>
      <c r="N127" s="2511" t="str">
        <f>IF(Z127="","",INDEX(TERRITORY_MR_LIST,MATCH(Z127,TERRITORY_LIST_ID,0)))</f>
        <v>Территория 17</v>
      </c>
      <c r="O127" s="2192" t="s">
        <v>66</v>
      </c>
      <c r="P127" s="2115"/>
      <c r="Q127" s="2115" t="s">
        <v>108</v>
      </c>
      <c r="R127" s="2509" t="s">
        <v>370</v>
      </c>
      <c r="S127" s="2413" t="s">
        <v>19</v>
      </c>
      <c r="T127" s="1809"/>
      <c r="U127" s="1809" t="s">
        <v>108</v>
      </c>
      <c r="V127" s="1441"/>
      <c r="W127" s="2508"/>
      <c r="X127" s="1860"/>
      <c r="Y127" s="1274"/>
      <c r="Z127" s="1274" t="s">
        <v>178</v>
      </c>
      <c r="AA127" s="1274"/>
      <c r="AB127" s="1274"/>
      <c r="AC127" s="1981" t="s">
        <v>312</v>
      </c>
      <c r="AD127" s="1981" t="s">
        <v>313</v>
      </c>
      <c r="AE127" s="1274" t="s">
        <v>371</v>
      </c>
      <c r="AF127" s="1274" t="s">
        <v>372</v>
      </c>
      <c r="AG127" s="1274" t="s">
        <v>373</v>
      </c>
      <c r="AH127" s="1274" t="str">
        <f>IF($E$79=0,"",$E$79)</f>
        <v>Тариф на питьевую воду (питьевое водоснабжение)</v>
      </c>
      <c r="AI127" s="1274" t="str">
        <f>IF($G$79=0,"",$G$79)</f>
        <v>Холодное водоснабжение. Питьевая вода</v>
      </c>
      <c r="AJ127" s="1274" t="str">
        <f>IF($J$79=0,"",$J$79)</f>
        <v>Холодное водоснабжение. Питьевая вода</v>
      </c>
      <c r="AK127" s="1274" t="str">
        <f>IF($K$127="нет","без дифференциации",IF($N$127=0,"",$N$127))</f>
        <v>Территория 17</v>
      </c>
      <c r="AL127" s="1851" t="str">
        <f>IF($O$127="нет","без дифференциации",IF($R$127=0,"",$R$127))</f>
        <v>Шебекинский район (г. шебекино, п. Графовка.)</v>
      </c>
      <c r="AM127" s="1851"/>
      <c r="AN127" s="1274">
        <f>$I$79</f>
        <v>1</v>
      </c>
      <c r="AO127" s="1274" t="str">
        <f>$I$79&amp;"."&amp;$M$127</f>
        <v>1.17</v>
      </c>
      <c r="AP127" s="1274" t="str">
        <f>$I$79&amp;"."&amp;$M$127&amp;"."&amp;$Q$127</f>
        <v>1.17.1</v>
      </c>
      <c r="AQ127" s="1274"/>
      <c r="AR127" s="1860"/>
    </row>
    <row customHeight="1" ht="17.25">
      <c r="A128" s="1847"/>
      <c r="B128" s="1860"/>
      <c r="C128" s="1852"/>
      <c r="D128" s="1837"/>
      <c r="E128" s="1854"/>
      <c r="F128" s="1791"/>
      <c r="G128" s="1855"/>
      <c r="H128" s="1837"/>
      <c r="I128" s="1837"/>
      <c r="J128" s="1858"/>
      <c r="K128" s="1855"/>
      <c r="L128" s="2115"/>
      <c r="M128" s="2115"/>
      <c r="N128" s="2511"/>
      <c r="O128" s="2193"/>
      <c r="P128" s="2115"/>
      <c r="Q128" s="2115"/>
      <c r="R128" s="2509"/>
      <c r="S128" s="2413"/>
      <c r="T128" s="1442"/>
      <c r="U128" s="1443"/>
      <c r="V128" s="1443"/>
      <c r="W128" s="2508"/>
      <c r="X128" s="1860"/>
      <c r="Y128" s="1266"/>
      <c r="Z128" s="1266"/>
      <c r="AA128" s="1266"/>
      <c r="AB128" s="1266"/>
      <c r="AC128" s="1266"/>
      <c r="AD128" s="1266"/>
      <c r="AE128" s="1266"/>
      <c r="AF128" s="1266"/>
      <c r="AG128" s="1266"/>
      <c r="AH128" s="1266"/>
      <c r="AI128" s="1266"/>
      <c r="AJ128" s="1266"/>
      <c r="AK128" s="1266"/>
      <c r="AL128" s="1860"/>
      <c r="AM128" s="1860"/>
      <c r="AN128" s="1860"/>
      <c r="AO128" s="1860"/>
      <c r="AP128" s="1860"/>
      <c r="AQ128" s="1860"/>
      <c r="AR128" s="1860"/>
    </row>
    <row customHeight="1" ht="17.25">
      <c r="A129" s="1847"/>
      <c r="B129" s="1860"/>
      <c r="C129" s="1852"/>
      <c r="D129" s="1837"/>
      <c r="E129" s="1854"/>
      <c r="F129" s="1791"/>
      <c r="G129" s="1855"/>
      <c r="H129" s="1837"/>
      <c r="I129" s="1837"/>
      <c r="J129" s="1858"/>
      <c r="K129" s="1855"/>
      <c r="L129" s="2510"/>
      <c r="M129" s="2510"/>
      <c r="N129" s="2512"/>
      <c r="O129" s="2119"/>
      <c r="P129" s="324"/>
      <c r="Q129" s="325"/>
      <c r="R129" s="325" t="s">
        <v>316</v>
      </c>
      <c r="S129" s="1853"/>
      <c r="T129" s="1853"/>
      <c r="U129" s="1853"/>
      <c r="V129" s="1853"/>
      <c r="W129" s="1440"/>
      <c r="X129" s="1860"/>
      <c r="Y129" s="1266"/>
      <c r="Z129" s="1266"/>
      <c r="AA129" s="1266"/>
      <c r="AB129" s="1266"/>
      <c r="AC129" s="1266"/>
      <c r="AD129" s="1266"/>
      <c r="AE129" s="1266"/>
      <c r="AF129" s="1266"/>
      <c r="AG129" s="1266"/>
      <c r="AH129" s="1266"/>
      <c r="AI129" s="1266"/>
      <c r="AJ129" s="1266"/>
      <c r="AK129" s="1266"/>
      <c r="AL129" s="1860"/>
      <c r="AM129" s="1860"/>
      <c r="AN129" s="1860"/>
      <c r="AO129" s="1860"/>
      <c r="AP129" s="1860"/>
      <c r="AQ129" s="1860"/>
      <c r="AR129" s="1860"/>
    </row>
    <row customHeight="1" ht="17.25">
      <c r="A130" s="1847"/>
      <c r="B130" s="1860"/>
      <c r="C130" s="1849"/>
      <c r="D130" s="1837"/>
      <c r="E130" s="1854"/>
      <c r="F130" s="1791"/>
      <c r="G130" s="1855"/>
      <c r="H130" s="1837"/>
      <c r="I130" s="1837"/>
      <c r="J130" s="1858"/>
      <c r="K130" s="1855"/>
      <c r="L130" s="2115" t="s">
        <v>102</v>
      </c>
      <c r="M130" s="2115" t="s">
        <v>182</v>
      </c>
      <c r="N130" s="2511" t="str">
        <f>IF(Z130="","",INDEX(TERRITORY_MR_LIST,MATCH(Z130,TERRITORY_LIST_ID,0)))</f>
        <v>Территория 18</v>
      </c>
      <c r="O130" s="2192" t="s">
        <v>66</v>
      </c>
      <c r="P130" s="2115"/>
      <c r="Q130" s="2115" t="s">
        <v>108</v>
      </c>
      <c r="R130" s="2509" t="s">
        <v>374</v>
      </c>
      <c r="S130" s="2413" t="s">
        <v>19</v>
      </c>
      <c r="T130" s="1809"/>
      <c r="U130" s="1809" t="s">
        <v>108</v>
      </c>
      <c r="V130" s="1441"/>
      <c r="W130" s="2508"/>
      <c r="X130" s="1860"/>
      <c r="Y130" s="1274"/>
      <c r="Z130" s="1274" t="s">
        <v>183</v>
      </c>
      <c r="AA130" s="1274"/>
      <c r="AB130" s="1274"/>
      <c r="AC130" s="1981" t="s">
        <v>312</v>
      </c>
      <c r="AD130" s="1981" t="s">
        <v>313</v>
      </c>
      <c r="AE130" s="1274" t="s">
        <v>375</v>
      </c>
      <c r="AF130" s="1274" t="s">
        <v>376</v>
      </c>
      <c r="AG130" s="1274" t="s">
        <v>377</v>
      </c>
      <c r="AH130" s="1274" t="str">
        <f>IF($E$79=0,"",$E$79)</f>
        <v>Тариф на питьевую воду (питьевое водоснабжение)</v>
      </c>
      <c r="AI130" s="1274" t="str">
        <f>IF($G$79=0,"",$G$79)</f>
        <v>Холодное водоснабжение. Питьевая вода</v>
      </c>
      <c r="AJ130" s="1274" t="str">
        <f>IF($J$79=0,"",$J$79)</f>
        <v>Холодное водоснабжение. Питьевая вода</v>
      </c>
      <c r="AK130" s="1274" t="str">
        <f>IF($K$130="нет","без дифференциации",IF($N$130=0,"",$N$130))</f>
        <v>Территория 18</v>
      </c>
      <c r="AL130" s="1851" t="str">
        <f>IF($O$130="нет","без дифференциации",IF($R$130=0,"",$R$130))</f>
        <v>Шебекинский район (с/п)</v>
      </c>
      <c r="AM130" s="1851"/>
      <c r="AN130" s="1274">
        <f>$I$79</f>
        <v>1</v>
      </c>
      <c r="AO130" s="1274" t="str">
        <f>$I$79&amp;"."&amp;$M$130</f>
        <v>1.18</v>
      </c>
      <c r="AP130" s="1274" t="str">
        <f>$I$79&amp;"."&amp;$M$130&amp;"."&amp;$Q$130</f>
        <v>1.18.1</v>
      </c>
      <c r="AQ130" s="1274"/>
      <c r="AR130" s="1860"/>
    </row>
    <row customHeight="1" ht="17.25">
      <c r="A131" s="1847"/>
      <c r="B131" s="1860"/>
      <c r="C131" s="1852"/>
      <c r="D131" s="1837"/>
      <c r="E131" s="1854"/>
      <c r="F131" s="1791"/>
      <c r="G131" s="1855"/>
      <c r="H131" s="1837"/>
      <c r="I131" s="1837"/>
      <c r="J131" s="1858"/>
      <c r="K131" s="1855"/>
      <c r="L131" s="2115"/>
      <c r="M131" s="2115"/>
      <c r="N131" s="2511"/>
      <c r="O131" s="2193"/>
      <c r="P131" s="2115"/>
      <c r="Q131" s="2115"/>
      <c r="R131" s="2509"/>
      <c r="S131" s="2413"/>
      <c r="T131" s="1442"/>
      <c r="U131" s="1443"/>
      <c r="V131" s="1443"/>
      <c r="W131" s="2508"/>
      <c r="X131" s="1860"/>
      <c r="Y131" s="1266"/>
      <c r="Z131" s="1266"/>
      <c r="AA131" s="1266"/>
      <c r="AB131" s="1266"/>
      <c r="AC131" s="1266"/>
      <c r="AD131" s="1266"/>
      <c r="AE131" s="1266"/>
      <c r="AF131" s="1266"/>
      <c r="AG131" s="1266"/>
      <c r="AH131" s="1266"/>
      <c r="AI131" s="1266"/>
      <c r="AJ131" s="1266"/>
      <c r="AK131" s="1266"/>
      <c r="AL131" s="1860"/>
      <c r="AM131" s="1860"/>
      <c r="AN131" s="1860"/>
      <c r="AO131" s="1860"/>
      <c r="AP131" s="1860"/>
      <c r="AQ131" s="1860"/>
      <c r="AR131" s="1860"/>
    </row>
    <row customHeight="1" ht="17.25">
      <c r="A132" s="1847"/>
      <c r="B132" s="1860"/>
      <c r="C132" s="1852"/>
      <c r="D132" s="1837"/>
      <c r="E132" s="1854"/>
      <c r="F132" s="1791"/>
      <c r="G132" s="1855"/>
      <c r="H132" s="1837"/>
      <c r="I132" s="1837"/>
      <c r="J132" s="1858"/>
      <c r="K132" s="1855"/>
      <c r="L132" s="2510"/>
      <c r="M132" s="2510"/>
      <c r="N132" s="2512"/>
      <c r="O132" s="2119"/>
      <c r="P132" s="324"/>
      <c r="Q132" s="325"/>
      <c r="R132" s="325" t="s">
        <v>316</v>
      </c>
      <c r="S132" s="1853"/>
      <c r="T132" s="1853"/>
      <c r="U132" s="1853"/>
      <c r="V132" s="1853"/>
      <c r="W132" s="1440"/>
      <c r="X132" s="1860"/>
      <c r="Y132" s="1266"/>
      <c r="Z132" s="1266"/>
      <c r="AA132" s="1266"/>
      <c r="AB132" s="1266"/>
      <c r="AC132" s="1266"/>
      <c r="AD132" s="1266"/>
      <c r="AE132" s="1266"/>
      <c r="AF132" s="1266"/>
      <c r="AG132" s="1266"/>
      <c r="AH132" s="1266"/>
      <c r="AI132" s="1266"/>
      <c r="AJ132" s="1266"/>
      <c r="AK132" s="1266"/>
      <c r="AL132" s="1860"/>
      <c r="AM132" s="1860"/>
      <c r="AN132" s="1860"/>
      <c r="AO132" s="1860"/>
      <c r="AP132" s="1860"/>
      <c r="AQ132" s="1860"/>
      <c r="AR132" s="1860"/>
    </row>
    <row customHeight="1" ht="17.25">
      <c r="A133" s="1847"/>
      <c r="B133" s="1860"/>
      <c r="C133" s="1849"/>
      <c r="D133" s="1837"/>
      <c r="E133" s="1854"/>
      <c r="F133" s="1791"/>
      <c r="G133" s="1855"/>
      <c r="H133" s="1837"/>
      <c r="I133" s="1837"/>
      <c r="J133" s="1858"/>
      <c r="K133" s="1855"/>
      <c r="L133" s="2115" t="s">
        <v>102</v>
      </c>
      <c r="M133" s="2115" t="s">
        <v>184</v>
      </c>
      <c r="N133" s="2511" t="str">
        <f>IF(Z133="","",INDEX(TERRITORY_MR_LIST,MATCH(Z133,TERRITORY_LIST_ID,0)))</f>
        <v>Территория 19</v>
      </c>
      <c r="O133" s="2192" t="s">
        <v>66</v>
      </c>
      <c r="P133" s="2115"/>
      <c r="Q133" s="2115" t="s">
        <v>108</v>
      </c>
      <c r="R133" s="2509" t="s">
        <v>378</v>
      </c>
      <c r="S133" s="2413" t="s">
        <v>19</v>
      </c>
      <c r="T133" s="1809"/>
      <c r="U133" s="1809" t="s">
        <v>108</v>
      </c>
      <c r="V133" s="1441"/>
      <c r="W133" s="2508"/>
      <c r="X133" s="1860"/>
      <c r="Y133" s="1274"/>
      <c r="Z133" s="1274" t="s">
        <v>185</v>
      </c>
      <c r="AA133" s="1274"/>
      <c r="AB133" s="1274"/>
      <c r="AC133" s="1981" t="s">
        <v>312</v>
      </c>
      <c r="AD133" s="1981" t="s">
        <v>313</v>
      </c>
      <c r="AE133" s="1274" t="s">
        <v>379</v>
      </c>
      <c r="AF133" s="1274" t="s">
        <v>380</v>
      </c>
      <c r="AG133" s="1274" t="s">
        <v>381</v>
      </c>
      <c r="AH133" s="1274" t="str">
        <f>IF($E$79=0,"",$E$79)</f>
        <v>Тариф на питьевую воду (питьевое водоснабжение)</v>
      </c>
      <c r="AI133" s="1274" t="str">
        <f>IF($G$79=0,"",$G$79)</f>
        <v>Холодное водоснабжение. Питьевая вода</v>
      </c>
      <c r="AJ133" s="1274" t="str">
        <f>IF($J$79=0,"",$J$79)</f>
        <v>Холодное водоснабжение. Питьевая вода</v>
      </c>
      <c r="AK133" s="1274" t="str">
        <f>IF($K$133="нет","без дифференциации",IF($N$133=0,"",$N$133))</f>
        <v>Территория 19</v>
      </c>
      <c r="AL133" s="1851" t="str">
        <f>IF($O$133="нет","без дифференциации",IF($R$133=0,"",$R$133))</f>
        <v>Чернянский район (п. Чернянска)</v>
      </c>
      <c r="AM133" s="1851"/>
      <c r="AN133" s="1274">
        <f>$I$79</f>
        <v>1</v>
      </c>
      <c r="AO133" s="1274" t="str">
        <f>$I$79&amp;"."&amp;$M$133</f>
        <v>1.19</v>
      </c>
      <c r="AP133" s="1274" t="str">
        <f>$I$79&amp;"."&amp;$M$133&amp;"."&amp;$Q$133</f>
        <v>1.19.1</v>
      </c>
      <c r="AQ133" s="1274"/>
      <c r="AR133" s="1860"/>
    </row>
    <row customHeight="1" ht="17.25">
      <c r="A134" s="1847"/>
      <c r="B134" s="1860"/>
      <c r="C134" s="1852"/>
      <c r="D134" s="1837"/>
      <c r="E134" s="1854"/>
      <c r="F134" s="1791"/>
      <c r="G134" s="1855"/>
      <c r="H134" s="1837"/>
      <c r="I134" s="1837"/>
      <c r="J134" s="1858"/>
      <c r="K134" s="1855"/>
      <c r="L134" s="2115"/>
      <c r="M134" s="2115"/>
      <c r="N134" s="2511"/>
      <c r="O134" s="2193"/>
      <c r="P134" s="2115"/>
      <c r="Q134" s="2115"/>
      <c r="R134" s="2509"/>
      <c r="S134" s="2413"/>
      <c r="T134" s="1442"/>
      <c r="U134" s="1443"/>
      <c r="V134" s="1443"/>
      <c r="W134" s="2508"/>
      <c r="X134" s="1860"/>
      <c r="Y134" s="1266"/>
      <c r="Z134" s="1266"/>
      <c r="AA134" s="1266"/>
      <c r="AB134" s="1266"/>
      <c r="AC134" s="1266"/>
      <c r="AD134" s="1266"/>
      <c r="AE134" s="1266"/>
      <c r="AF134" s="1266"/>
      <c r="AG134" s="1266"/>
      <c r="AH134" s="1266"/>
      <c r="AI134" s="1266"/>
      <c r="AJ134" s="1266"/>
      <c r="AK134" s="1266"/>
      <c r="AL134" s="1860"/>
      <c r="AM134" s="1860"/>
      <c r="AN134" s="1860"/>
      <c r="AO134" s="1860"/>
      <c r="AP134" s="1860"/>
      <c r="AQ134" s="1860"/>
      <c r="AR134" s="1860"/>
    </row>
    <row customHeight="1" ht="17.25">
      <c r="A135" s="1847"/>
      <c r="B135" s="1860"/>
      <c r="C135" s="1852"/>
      <c r="D135" s="1837"/>
      <c r="E135" s="1854"/>
      <c r="F135" s="1791"/>
      <c r="G135" s="1855"/>
      <c r="H135" s="1837"/>
      <c r="I135" s="1837"/>
      <c r="J135" s="1858"/>
      <c r="K135" s="1855"/>
      <c r="L135" s="2510"/>
      <c r="M135" s="2510"/>
      <c r="N135" s="2512"/>
      <c r="O135" s="2119"/>
      <c r="P135" s="324"/>
      <c r="Q135" s="325"/>
      <c r="R135" s="325" t="s">
        <v>316</v>
      </c>
      <c r="S135" s="1853"/>
      <c r="T135" s="1853"/>
      <c r="U135" s="1853"/>
      <c r="V135" s="1853"/>
      <c r="W135" s="1440"/>
      <c r="X135" s="1860"/>
      <c r="Y135" s="1266"/>
      <c r="Z135" s="1266"/>
      <c r="AA135" s="1266"/>
      <c r="AB135" s="1266"/>
      <c r="AC135" s="1266"/>
      <c r="AD135" s="1266"/>
      <c r="AE135" s="1266"/>
      <c r="AF135" s="1266"/>
      <c r="AG135" s="1266"/>
      <c r="AH135" s="1266"/>
      <c r="AI135" s="1266"/>
      <c r="AJ135" s="1266"/>
      <c r="AK135" s="1266"/>
      <c r="AL135" s="1860"/>
      <c r="AM135" s="1860"/>
      <c r="AN135" s="1860"/>
      <c r="AO135" s="1860"/>
      <c r="AP135" s="1860"/>
      <c r="AQ135" s="1860"/>
      <c r="AR135" s="1860"/>
    </row>
    <row customHeight="1" ht="17.25">
      <c r="A136" s="1847"/>
      <c r="B136" s="1860"/>
      <c r="C136" s="1849"/>
      <c r="D136" s="1837"/>
      <c r="E136" s="1854"/>
      <c r="F136" s="1791"/>
      <c r="G136" s="1855"/>
      <c r="H136" s="1837"/>
      <c r="I136" s="1837"/>
      <c r="J136" s="1858"/>
      <c r="K136" s="1855"/>
      <c r="L136" s="2115" t="s">
        <v>102</v>
      </c>
      <c r="M136" s="2115" t="s">
        <v>190</v>
      </c>
      <c r="N136" s="2511" t="str">
        <f>IF(Z136="","",INDEX(TERRITORY_MR_LIST,MATCH(Z136,TERRITORY_LIST_ID,0)))</f>
        <v>Территория 20</v>
      </c>
      <c r="O136" s="2192" t="s">
        <v>66</v>
      </c>
      <c r="P136" s="2115"/>
      <c r="Q136" s="2115" t="s">
        <v>108</v>
      </c>
      <c r="R136" s="2509" t="s">
        <v>382</v>
      </c>
      <c r="S136" s="2413" t="s">
        <v>19</v>
      </c>
      <c r="T136" s="1809"/>
      <c r="U136" s="1809" t="s">
        <v>108</v>
      </c>
      <c r="V136" s="1441"/>
      <c r="W136" s="2508"/>
      <c r="X136" s="1860"/>
      <c r="Y136" s="1274"/>
      <c r="Z136" s="1274" t="s">
        <v>191</v>
      </c>
      <c r="AA136" s="1274"/>
      <c r="AB136" s="1274"/>
      <c r="AC136" s="1981" t="s">
        <v>312</v>
      </c>
      <c r="AD136" s="1981" t="s">
        <v>313</v>
      </c>
      <c r="AE136" s="1274" t="s">
        <v>383</v>
      </c>
      <c r="AF136" s="1274" t="s">
        <v>384</v>
      </c>
      <c r="AG136" s="1274" t="s">
        <v>385</v>
      </c>
      <c r="AH136" s="1274" t="str">
        <f>IF($E$79=0,"",$E$79)</f>
        <v>Тариф на питьевую воду (питьевое водоснабжение)</v>
      </c>
      <c r="AI136" s="1274" t="str">
        <f>IF($G$79=0,"",$G$79)</f>
        <v>Холодное водоснабжение. Питьевая вода</v>
      </c>
      <c r="AJ136" s="1274" t="str">
        <f>IF($J$79=0,"",$J$79)</f>
        <v>Холодное водоснабжение. Питьевая вода</v>
      </c>
      <c r="AK136" s="1274" t="str">
        <f>IF($K$136="нет","без дифференциации",IF($N$136=0,"",$N$136))</f>
        <v>Территория 20</v>
      </c>
      <c r="AL136" s="1851" t="str">
        <f>IF($O$136="нет","без дифференциации",IF($R$136=0,"",$R$136))</f>
        <v>Чернянский район (с/п)</v>
      </c>
      <c r="AM136" s="1851"/>
      <c r="AN136" s="1274">
        <f>$I$79</f>
        <v>1</v>
      </c>
      <c r="AO136" s="1274" t="str">
        <f>$I$79&amp;"."&amp;$M$136</f>
        <v>1.20</v>
      </c>
      <c r="AP136" s="1274" t="str">
        <f>$I$79&amp;"."&amp;$M$136&amp;"."&amp;$Q$136</f>
        <v>1.20.1</v>
      </c>
      <c r="AQ136" s="1274"/>
      <c r="AR136" s="1860"/>
    </row>
    <row customHeight="1" ht="17.25">
      <c r="A137" s="1847"/>
      <c r="B137" s="1860"/>
      <c r="C137" s="1852"/>
      <c r="D137" s="1837"/>
      <c r="E137" s="1854"/>
      <c r="F137" s="1791"/>
      <c r="G137" s="1855"/>
      <c r="H137" s="1837"/>
      <c r="I137" s="1837"/>
      <c r="J137" s="1858"/>
      <c r="K137" s="1855"/>
      <c r="L137" s="2115"/>
      <c r="M137" s="2115"/>
      <c r="N137" s="2511"/>
      <c r="O137" s="2193"/>
      <c r="P137" s="2115"/>
      <c r="Q137" s="2115"/>
      <c r="R137" s="2509"/>
      <c r="S137" s="2413"/>
      <c r="T137" s="1442"/>
      <c r="U137" s="1443"/>
      <c r="V137" s="1443"/>
      <c r="W137" s="2508"/>
      <c r="X137" s="1860"/>
      <c r="Y137" s="1266"/>
      <c r="Z137" s="1266"/>
      <c r="AA137" s="1266"/>
      <c r="AB137" s="1266"/>
      <c r="AC137" s="1266"/>
      <c r="AD137" s="1266"/>
      <c r="AE137" s="1266"/>
      <c r="AF137" s="1266"/>
      <c r="AG137" s="1266"/>
      <c r="AH137" s="1266"/>
      <c r="AI137" s="1266"/>
      <c r="AJ137" s="1266"/>
      <c r="AK137" s="1266"/>
      <c r="AL137" s="1860"/>
      <c r="AM137" s="1860"/>
      <c r="AN137" s="1860"/>
      <c r="AO137" s="1860"/>
      <c r="AP137" s="1860"/>
      <c r="AQ137" s="1860"/>
      <c r="AR137" s="1860"/>
    </row>
    <row customHeight="1" ht="17.25">
      <c r="A138" s="1847"/>
      <c r="B138" s="1860"/>
      <c r="C138" s="1852"/>
      <c r="D138" s="1837"/>
      <c r="E138" s="1854"/>
      <c r="F138" s="1791"/>
      <c r="G138" s="1855"/>
      <c r="H138" s="1837"/>
      <c r="I138" s="1837"/>
      <c r="J138" s="1858"/>
      <c r="K138" s="1855"/>
      <c r="L138" s="2510"/>
      <c r="M138" s="2510"/>
      <c r="N138" s="2512"/>
      <c r="O138" s="2119"/>
      <c r="P138" s="324"/>
      <c r="Q138" s="325"/>
      <c r="R138" s="325" t="s">
        <v>316</v>
      </c>
      <c r="S138" s="1853"/>
      <c r="T138" s="1853"/>
      <c r="U138" s="1853"/>
      <c r="V138" s="1853"/>
      <c r="W138" s="1440"/>
      <c r="X138" s="1860"/>
      <c r="Y138" s="1266"/>
      <c r="Z138" s="1266"/>
      <c r="AA138" s="1266"/>
      <c r="AB138" s="1266"/>
      <c r="AC138" s="1266"/>
      <c r="AD138" s="1266"/>
      <c r="AE138" s="1266"/>
      <c r="AF138" s="1266"/>
      <c r="AG138" s="1266"/>
      <c r="AH138" s="1266"/>
      <c r="AI138" s="1266"/>
      <c r="AJ138" s="1266"/>
      <c r="AK138" s="1266"/>
      <c r="AL138" s="1860"/>
      <c r="AM138" s="1860"/>
      <c r="AN138" s="1860"/>
      <c r="AO138" s="1860"/>
      <c r="AP138" s="1860"/>
      <c r="AQ138" s="1860"/>
      <c r="AR138" s="1860"/>
    </row>
    <row customHeight="1" ht="17.25">
      <c r="A139" s="1847"/>
      <c r="B139" s="1860"/>
      <c r="C139" s="1849"/>
      <c r="D139" s="1837"/>
      <c r="E139" s="1854"/>
      <c r="F139" s="1791"/>
      <c r="G139" s="1855"/>
      <c r="H139" s="1837"/>
      <c r="I139" s="1837"/>
      <c r="J139" s="1858"/>
      <c r="K139" s="1855"/>
      <c r="L139" s="2115" t="s">
        <v>102</v>
      </c>
      <c r="M139" s="2115" t="s">
        <v>194</v>
      </c>
      <c r="N139" s="2511" t="str">
        <f>IF(Z139="","",INDEX(TERRITORY_MR_LIST,MATCH(Z139,TERRITORY_LIST_ID,0)))</f>
        <v>Территория 21</v>
      </c>
      <c r="O139" s="2192" t="s">
        <v>66</v>
      </c>
      <c r="P139" s="2115"/>
      <c r="Q139" s="2115" t="s">
        <v>108</v>
      </c>
      <c r="R139" s="2509" t="s">
        <v>386</v>
      </c>
      <c r="S139" s="2413" t="s">
        <v>19</v>
      </c>
      <c r="T139" s="1809"/>
      <c r="U139" s="1809" t="s">
        <v>108</v>
      </c>
      <c r="V139" s="1441"/>
      <c r="W139" s="2508"/>
      <c r="X139" s="1860"/>
      <c r="Y139" s="1274"/>
      <c r="Z139" s="1274" t="s">
        <v>195</v>
      </c>
      <c r="AA139" s="1274"/>
      <c r="AB139" s="1274"/>
      <c r="AC139" s="1981" t="s">
        <v>312</v>
      </c>
      <c r="AD139" s="1981" t="s">
        <v>313</v>
      </c>
      <c r="AE139" s="1274" t="s">
        <v>387</v>
      </c>
      <c r="AF139" s="1274" t="s">
        <v>388</v>
      </c>
      <c r="AG139" s="1274" t="s">
        <v>389</v>
      </c>
      <c r="AH139" s="1274" t="str">
        <f>IF($E$79=0,"",$E$79)</f>
        <v>Тариф на питьевую воду (питьевое водоснабжение)</v>
      </c>
      <c r="AI139" s="1274" t="str">
        <f>IF($G$79=0,"",$G$79)</f>
        <v>Холодное водоснабжение. Питьевая вода</v>
      </c>
      <c r="AJ139" s="1274" t="str">
        <f>IF($J$79=0,"",$J$79)</f>
        <v>Холодное водоснабжение. Питьевая вода</v>
      </c>
      <c r="AK139" s="1274" t="str">
        <f>IF($K$139="нет","без дифференциации",IF($N$139=0,"",$N$139))</f>
        <v>Территория 21</v>
      </c>
      <c r="AL139" s="1851" t="str">
        <f>IF($O$139="нет","без дифференциации",IF($R$139=0,"",$R$139))</f>
        <v>Яковлевский район</v>
      </c>
      <c r="AM139" s="1851"/>
      <c r="AN139" s="1274">
        <f>$I$79</f>
        <v>1</v>
      </c>
      <c r="AO139" s="1274" t="str">
        <f>$I$79&amp;"."&amp;$M$139</f>
        <v>1.21</v>
      </c>
      <c r="AP139" s="1274" t="str">
        <f>$I$79&amp;"."&amp;$M$139&amp;"."&amp;$Q$139</f>
        <v>1.21.1</v>
      </c>
      <c r="AQ139" s="1274"/>
      <c r="AR139" s="1860"/>
    </row>
    <row customHeight="1" ht="17.25">
      <c r="A140" s="1847"/>
      <c r="B140" s="1860"/>
      <c r="C140" s="1852"/>
      <c r="D140" s="1837"/>
      <c r="E140" s="1854"/>
      <c r="F140" s="1791"/>
      <c r="G140" s="1855"/>
      <c r="H140" s="1837"/>
      <c r="I140" s="1837"/>
      <c r="J140" s="1858"/>
      <c r="K140" s="1855"/>
      <c r="L140" s="2115"/>
      <c r="M140" s="2115"/>
      <c r="N140" s="2511"/>
      <c r="O140" s="2193"/>
      <c r="P140" s="2115"/>
      <c r="Q140" s="2115"/>
      <c r="R140" s="2509"/>
      <c r="S140" s="2413"/>
      <c r="T140" s="1442"/>
      <c r="U140" s="1443"/>
      <c r="V140" s="1443"/>
      <c r="W140" s="2508"/>
      <c r="X140" s="1860"/>
      <c r="Y140" s="1266"/>
      <c r="Z140" s="1266"/>
      <c r="AA140" s="1266"/>
      <c r="AB140" s="1266"/>
      <c r="AC140" s="1266"/>
      <c r="AD140" s="1266"/>
      <c r="AE140" s="1266"/>
      <c r="AF140" s="1266"/>
      <c r="AG140" s="1266"/>
      <c r="AH140" s="1266"/>
      <c r="AI140" s="1266"/>
      <c r="AJ140" s="1266"/>
      <c r="AK140" s="1266"/>
      <c r="AL140" s="1860"/>
      <c r="AM140" s="1860"/>
      <c r="AN140" s="1860"/>
      <c r="AO140" s="1860"/>
      <c r="AP140" s="1860"/>
      <c r="AQ140" s="1860"/>
      <c r="AR140" s="1860"/>
    </row>
    <row customHeight="1" ht="17.25">
      <c r="A141" s="1847"/>
      <c r="B141" s="1860"/>
      <c r="C141" s="1852"/>
      <c r="D141" s="1837"/>
      <c r="E141" s="1854"/>
      <c r="F141" s="1791"/>
      <c r="G141" s="1855"/>
      <c r="H141" s="1837"/>
      <c r="I141" s="1837"/>
      <c r="J141" s="1858"/>
      <c r="K141" s="1855"/>
      <c r="L141" s="2510"/>
      <c r="M141" s="2510"/>
      <c r="N141" s="2512"/>
      <c r="O141" s="2119"/>
      <c r="P141" s="324"/>
      <c r="Q141" s="325"/>
      <c r="R141" s="325" t="s">
        <v>316</v>
      </c>
      <c r="S141" s="1853"/>
      <c r="T141" s="1853"/>
      <c r="U141" s="1853"/>
      <c r="V141" s="1853"/>
      <c r="W141" s="1440"/>
      <c r="X141" s="1860"/>
      <c r="Y141" s="1266"/>
      <c r="Z141" s="1266"/>
      <c r="AA141" s="1266"/>
      <c r="AB141" s="1266"/>
      <c r="AC141" s="1266"/>
      <c r="AD141" s="1266"/>
      <c r="AE141" s="1266"/>
      <c r="AF141" s="1266"/>
      <c r="AG141" s="1266"/>
      <c r="AH141" s="1266"/>
      <c r="AI141" s="1266"/>
      <c r="AJ141" s="1266"/>
      <c r="AK141" s="1266"/>
      <c r="AL141" s="1860"/>
      <c r="AM141" s="1860"/>
      <c r="AN141" s="1860"/>
      <c r="AO141" s="1860"/>
      <c r="AP141" s="1860"/>
      <c r="AQ141" s="1860"/>
      <c r="AR141" s="1860"/>
    </row>
    <row s="1860" customFormat="1" customHeight="1" ht="17.25">
      <c r="A142" s="328"/>
      <c r="C142" s="327"/>
      <c r="D142" s="2142"/>
      <c r="E142" s="2150"/>
      <c r="F142" s="2153"/>
      <c r="G142" s="2636"/>
      <c r="H142" s="2510"/>
      <c r="I142" s="2510"/>
      <c r="J142" s="2540"/>
      <c r="K142" s="2119"/>
      <c r="L142" s="2645"/>
      <c r="M142" s="2646"/>
      <c r="N142" s="2647" t="s">
        <v>390</v>
      </c>
      <c r="O142" s="2648"/>
      <c r="P142" s="2649"/>
      <c r="Q142" s="2650"/>
      <c r="R142" s="2651"/>
      <c r="S142" s="2652"/>
      <c r="T142" s="2653"/>
      <c r="U142" s="2654"/>
      <c r="V142" s="2655"/>
      <c r="W142" s="2656"/>
      <c r="Y142" s="1266"/>
      <c r="Z142" s="1266"/>
      <c r="AA142" s="1266"/>
      <c r="AB142" s="1266"/>
      <c r="AC142" s="1266"/>
      <c r="AD142" s="1266"/>
      <c r="AE142" s="1266"/>
      <c r="AF142" s="1266"/>
      <c r="AG142" s="1266"/>
      <c r="AH142" s="1266"/>
      <c r="AI142" s="1266"/>
      <c r="AJ142" s="1266"/>
      <c r="AK142" s="1266"/>
      <c r="AL142" s="1266"/>
      <c r="AM142" s="1266"/>
      <c r="AN142" s="1266"/>
      <c r="AO142" s="1266"/>
      <c r="AP142" s="1266"/>
      <c r="AQ142" s="1266"/>
      <c r="AR142" s="1448">
        <v>0</v>
      </c>
    </row>
    <row s="1860" customFormat="1" customHeight="1" ht="17.25">
      <c r="A143" s="328"/>
      <c r="C143" s="327"/>
      <c r="D143" s="2143"/>
      <c r="E143" s="2151"/>
      <c r="F143" s="2154"/>
      <c r="G143" s="2657"/>
      <c r="H143" s="2658"/>
      <c r="I143" s="2659"/>
      <c r="J143" s="2660" t="s">
        <v>391</v>
      </c>
      <c r="K143" s="2661"/>
      <c r="L143" s="2662"/>
      <c r="M143" s="2663"/>
      <c r="N143" s="2664"/>
      <c r="O143" s="2665"/>
      <c r="P143" s="2666"/>
      <c r="Q143" s="2667"/>
      <c r="R143" s="2668"/>
      <c r="S143" s="2669"/>
      <c r="T143" s="2670"/>
      <c r="U143" s="2671"/>
      <c r="V143" s="2672"/>
      <c r="W143" s="2673"/>
      <c r="Y143" s="1266"/>
      <c r="Z143" s="1266"/>
      <c r="AA143" s="1266"/>
      <c r="AB143" s="1266"/>
      <c r="AC143" s="1266"/>
      <c r="AD143" s="1266"/>
      <c r="AE143" s="1266"/>
      <c r="AF143" s="1266"/>
      <c r="AG143" s="1266"/>
      <c r="AH143" s="1266"/>
      <c r="AI143" s="1266"/>
      <c r="AJ143" s="1266"/>
      <c r="AK143" s="1266"/>
      <c r="AL143" s="1266"/>
      <c r="AM143" s="1266"/>
      <c r="AN143" s="1266"/>
      <c r="AO143" s="1266"/>
      <c r="AP143" s="1266"/>
      <c r="AQ143" s="1266"/>
      <c r="AR143" s="1357">
        <v>0</v>
      </c>
    </row>
    <row s="1860" customFormat="1" customHeight="1" ht="17.25">
      <c r="A144" s="328"/>
      <c r="C144" s="216"/>
      <c r="D144" s="2142">
        <v>2</v>
      </c>
      <c r="E144" s="2150" t="s">
        <v>392</v>
      </c>
      <c r="F144" s="2152" t="s">
        <v>19</v>
      </c>
      <c r="G144" s="2150"/>
      <c r="H144" s="2155"/>
      <c r="I144" s="2157"/>
      <c r="J144" s="2159"/>
      <c r="K144" s="2144"/>
      <c r="L144" s="2144"/>
      <c r="M144" s="2144"/>
      <c r="N144" s="2146"/>
      <c r="O144" s="2144"/>
      <c r="P144" s="2144"/>
      <c r="Q144" s="2144"/>
      <c r="R144" s="2149"/>
      <c r="S144" s="2144"/>
      <c r="T144" s="1450"/>
      <c r="U144" s="1450"/>
      <c r="V144" s="1452"/>
      <c r="W144" s="1303"/>
      <c r="X144" s="1274"/>
      <c r="Y144" s="1274"/>
      <c r="Z144" s="1274"/>
      <c r="AA144" s="1274"/>
      <c r="AB144" s="1274"/>
      <c r="AC144" s="1274" t="s">
        <v>393</v>
      </c>
      <c r="AD144" s="1274" t="s">
        <v>394</v>
      </c>
      <c r="AE144" s="1274" t="s">
        <v>395</v>
      </c>
      <c r="AF144" s="1274" t="s">
        <v>396</v>
      </c>
      <c r="AG144" s="1274"/>
      <c r="AH144" s="1274" t="str">
        <f>IF($E$144=0,"",$E$144)</f>
        <v>Тариф на техническую воду</v>
      </c>
      <c r="AI144" s="1274" t="str">
        <f>IF($G$144=0,"",$G$144)</f>
        <v/>
      </c>
      <c r="AJ144" s="1274" t="str">
        <f>IF($J$144=0,"",$J$144)</f>
        <v/>
      </c>
      <c r="AK144" s="1274" t="str">
        <f>IF($K$144="нет","без дифференциации",IF($N$144=0,"",$N$144))</f>
        <v/>
      </c>
      <c r="AL144" s="1274" t="str">
        <f>IF($O$144="нет","без дифференциации",IF($R$144=0,"",$R$144))</f>
        <v/>
      </c>
      <c r="AM144" s="1274" t="str">
        <f>IF($S$144="нет","без дифференциации",IF($V$144=0,"",$V$144))</f>
        <v/>
      </c>
      <c r="AN144" s="1779">
        <f>$I$144</f>
        <v>0</v>
      </c>
      <c r="AO144" s="1274" t="str">
        <f>$I$144&amp;"."&amp;$M$144</f>
        <v>.</v>
      </c>
      <c r="AP144" s="1266" t="str">
        <f>$I$144&amp;"."&amp;$M$144&amp;"."&amp;$Q$144</f>
        <v>..</v>
      </c>
      <c r="AQ144" s="1266" t="str">
        <f>$I$144&amp;"."&amp;$M$144&amp;"."&amp;$Q$144&amp;"."&amp;$U$144</f>
        <v>...</v>
      </c>
      <c r="AR144" s="1357">
        <v>0</v>
      </c>
    </row>
    <row s="1860" customFormat="1" customHeight="1" ht="17.25">
      <c r="A145" s="328"/>
      <c r="C145" s="327"/>
      <c r="D145" s="2142"/>
      <c r="E145" s="2150"/>
      <c r="F145" s="2153"/>
      <c r="G145" s="2150"/>
      <c r="H145" s="2156"/>
      <c r="I145" s="2158"/>
      <c r="J145" s="2160"/>
      <c r="K145" s="2145"/>
      <c r="L145" s="2145"/>
      <c r="M145" s="2145"/>
      <c r="N145" s="2147"/>
      <c r="O145" s="2145"/>
      <c r="P145" s="2145"/>
      <c r="Q145" s="2145"/>
      <c r="R145" s="2148"/>
      <c r="S145" s="2145"/>
      <c r="T145" s="1304"/>
      <c r="U145" s="1304"/>
      <c r="V145" s="1304"/>
      <c r="W145" s="1305"/>
      <c r="X145" s="1266"/>
      <c r="Y145" s="1266"/>
      <c r="Z145" s="1266"/>
      <c r="AA145" s="1266"/>
      <c r="AB145" s="1266"/>
      <c r="AC145" s="1266"/>
      <c r="AD145" s="1266"/>
      <c r="AE145" s="1266"/>
      <c r="AF145" s="1266"/>
      <c r="AG145" s="1266"/>
      <c r="AH145" s="1266"/>
      <c r="AI145" s="1266"/>
      <c r="AJ145" s="1266"/>
      <c r="AK145" s="1266"/>
      <c r="AL145" s="1266"/>
      <c r="AM145" s="1266"/>
      <c r="AN145" s="1266"/>
      <c r="AO145" s="1266"/>
      <c r="AP145" s="1266"/>
      <c r="AQ145" s="1266"/>
      <c r="AR145" s="1357">
        <v>0</v>
      </c>
    </row>
    <row s="1860" customFormat="1" customHeight="1" ht="17.25">
      <c r="A146" s="328"/>
      <c r="C146" s="327"/>
      <c r="D146" s="2143"/>
      <c r="E146" s="2151"/>
      <c r="F146" s="2153"/>
      <c r="G146" s="2151"/>
      <c r="H146" s="2156"/>
      <c r="I146" s="2158"/>
      <c r="J146" s="2161"/>
      <c r="K146" s="2145"/>
      <c r="L146" s="2145"/>
      <c r="M146" s="2145"/>
      <c r="N146" s="2148"/>
      <c r="O146" s="2145"/>
      <c r="P146" s="1451"/>
      <c r="Q146" s="1304"/>
      <c r="R146" s="1304"/>
      <c r="S146" s="336"/>
      <c r="T146" s="336"/>
      <c r="U146" s="336"/>
      <c r="V146" s="336"/>
      <c r="W146" s="1305"/>
      <c r="X146" s="1266"/>
      <c r="Y146" s="1266"/>
      <c r="Z146" s="1266"/>
      <c r="AA146" s="1266"/>
      <c r="AB146" s="1266"/>
      <c r="AC146" s="1266"/>
      <c r="AD146" s="1266"/>
      <c r="AE146" s="1266"/>
      <c r="AF146" s="1266"/>
      <c r="AG146" s="1266"/>
      <c r="AH146" s="1266"/>
      <c r="AI146" s="1266"/>
      <c r="AJ146" s="1266"/>
      <c r="AK146" s="1266"/>
      <c r="AL146" s="1266"/>
      <c r="AM146" s="1266"/>
      <c r="AN146" s="1266"/>
      <c r="AO146" s="1266"/>
      <c r="AP146" s="1266"/>
      <c r="AQ146" s="1266"/>
      <c r="AR146" s="1357">
        <v>0</v>
      </c>
    </row>
    <row s="1860" customFormat="1" customHeight="1" ht="17.25">
      <c r="A147" s="328"/>
      <c r="C147" s="327"/>
      <c r="D147" s="2143"/>
      <c r="E147" s="2151"/>
      <c r="F147" s="2153"/>
      <c r="G147" s="2151"/>
      <c r="H147" s="2156"/>
      <c r="I147" s="2158"/>
      <c r="J147" s="2161"/>
      <c r="K147" s="2145"/>
      <c r="L147" s="1304"/>
      <c r="M147" s="1304"/>
      <c r="N147" s="1304"/>
      <c r="O147" s="1304"/>
      <c r="P147" s="1304"/>
      <c r="Q147" s="1304"/>
      <c r="R147" s="1304"/>
      <c r="S147" s="336"/>
      <c r="T147" s="336"/>
      <c r="U147" s="336"/>
      <c r="V147" s="336"/>
      <c r="W147" s="1305"/>
      <c r="X147" s="1266"/>
      <c r="Y147" s="1266"/>
      <c r="Z147" s="1266"/>
      <c r="AA147" s="1266"/>
      <c r="AB147" s="1266"/>
      <c r="AC147" s="1266"/>
      <c r="AD147" s="1266"/>
      <c r="AE147" s="1266"/>
      <c r="AF147" s="1266"/>
      <c r="AG147" s="1266"/>
      <c r="AH147" s="1266"/>
      <c r="AI147" s="1266"/>
      <c r="AJ147" s="1266"/>
      <c r="AK147" s="1266"/>
      <c r="AL147" s="1266"/>
      <c r="AM147" s="1266"/>
      <c r="AN147" s="1266"/>
      <c r="AO147" s="1266"/>
      <c r="AP147" s="1266"/>
      <c r="AQ147" s="1266"/>
      <c r="AR147" s="1357">
        <v>0</v>
      </c>
    </row>
    <row s="1860" customFormat="1" customHeight="1" ht="17.25">
      <c r="A148" s="328"/>
      <c r="C148" s="327"/>
      <c r="D148" s="2143"/>
      <c r="E148" s="2151"/>
      <c r="F148" s="2154"/>
      <c r="G148" s="2151"/>
      <c r="H148" s="1306"/>
      <c r="I148" s="1307"/>
      <c r="J148" s="1307"/>
      <c r="K148" s="1307"/>
      <c r="L148" s="1307"/>
      <c r="M148" s="1307"/>
      <c r="N148" s="1307"/>
      <c r="O148" s="1307"/>
      <c r="P148" s="1307"/>
      <c r="Q148" s="1307"/>
      <c r="R148" s="1307"/>
      <c r="S148" s="1308"/>
      <c r="T148" s="1308"/>
      <c r="U148" s="1308"/>
      <c r="V148" s="1308"/>
      <c r="W148" s="1309"/>
      <c r="X148" s="1266"/>
      <c r="Y148" s="1266"/>
      <c r="Z148" s="1266"/>
      <c r="AA148" s="1266"/>
      <c r="AB148" s="1266"/>
      <c r="AC148" s="1266"/>
      <c r="AD148" s="1266"/>
      <c r="AE148" s="1266"/>
      <c r="AF148" s="1266"/>
      <c r="AG148" s="1266"/>
      <c r="AH148" s="1266"/>
      <c r="AI148" s="1266"/>
      <c r="AJ148" s="1266"/>
      <c r="AK148" s="1266"/>
      <c r="AL148" s="1266"/>
      <c r="AM148" s="1266"/>
      <c r="AN148" s="1266"/>
      <c r="AO148" s="1266"/>
      <c r="AP148" s="1266"/>
      <c r="AQ148" s="1266"/>
      <c r="AR148" s="1357">
        <v>0</v>
      </c>
    </row>
    <row s="1860" customFormat="1" customHeight="1" ht="17.25">
      <c r="A149" s="328"/>
      <c r="C149" s="216"/>
      <c r="D149" s="2142">
        <v>3</v>
      </c>
      <c r="E149" s="2150" t="s">
        <v>397</v>
      </c>
      <c r="F149" s="2152" t="s">
        <v>19</v>
      </c>
      <c r="G149" s="2150"/>
      <c r="H149" s="2155"/>
      <c r="I149" s="2157"/>
      <c r="J149" s="2159"/>
      <c r="K149" s="2144"/>
      <c r="L149" s="2144"/>
      <c r="M149" s="2144"/>
      <c r="N149" s="2146"/>
      <c r="O149" s="2144"/>
      <c r="P149" s="2144"/>
      <c r="Q149" s="2144"/>
      <c r="R149" s="2149"/>
      <c r="S149" s="2144"/>
      <c r="T149" s="1450"/>
      <c r="U149" s="1450"/>
      <c r="V149" s="1452"/>
      <c r="W149" s="1303"/>
      <c r="X149" s="1274"/>
      <c r="Y149" s="1274"/>
      <c r="Z149" s="1274"/>
      <c r="AA149" s="1274"/>
      <c r="AB149" s="1274"/>
      <c r="AC149" s="1274" t="s">
        <v>398</v>
      </c>
      <c r="AD149" s="1274" t="s">
        <v>399</v>
      </c>
      <c r="AE149" s="1274" t="s">
        <v>400</v>
      </c>
      <c r="AF149" s="1274" t="s">
        <v>401</v>
      </c>
      <c r="AG149" s="1274"/>
      <c r="AH149" s="1274" t="str">
        <f>IF($E$149=0,"",$E$149)</f>
        <v>Тариф на транспортировку воды</v>
      </c>
      <c r="AI149" s="1274" t="str">
        <f>IF($G$149=0,"",$G$149)</f>
        <v/>
      </c>
      <c r="AJ149" s="1274" t="str">
        <f>IF($J$149=0,"",$J$149)</f>
        <v/>
      </c>
      <c r="AK149" s="1274" t="str">
        <f>IF($K$149="нет","без дифференциации",IF($N$149=0,"",$N$149))</f>
        <v/>
      </c>
      <c r="AL149" s="1274" t="str">
        <f>IF($O$149="нет","без дифференциации",IF($R$149=0,"",$R$149))</f>
        <v/>
      </c>
      <c r="AM149" s="1274" t="str">
        <f>IF($S$149="нет","без дифференциации",IF($V$149=0,"",$V$149))</f>
        <v/>
      </c>
      <c r="AN149" s="1779">
        <f>$I$149</f>
        <v>0</v>
      </c>
      <c r="AO149" s="1274" t="str">
        <f>$I$149&amp;"."&amp;$M$149</f>
        <v>.</v>
      </c>
      <c r="AP149" s="1266" t="str">
        <f>$I$149&amp;"."&amp;$M$149&amp;"."&amp;$Q$149</f>
        <v>..</v>
      </c>
      <c r="AQ149" s="1266" t="str">
        <f>$I$149&amp;"."&amp;$M$149&amp;"."&amp;$Q$149&amp;"."&amp;$U$149</f>
        <v>...</v>
      </c>
      <c r="AR149" s="1357">
        <v>0</v>
      </c>
    </row>
    <row s="1860" customFormat="1" customHeight="1" ht="17.25">
      <c r="A150" s="328"/>
      <c r="C150" s="327"/>
      <c r="D150" s="2142"/>
      <c r="E150" s="2150"/>
      <c r="F150" s="2153"/>
      <c r="G150" s="2150"/>
      <c r="H150" s="2156"/>
      <c r="I150" s="2158"/>
      <c r="J150" s="2160"/>
      <c r="K150" s="2145"/>
      <c r="L150" s="2145"/>
      <c r="M150" s="2145"/>
      <c r="N150" s="2147"/>
      <c r="O150" s="2145"/>
      <c r="P150" s="2145"/>
      <c r="Q150" s="2145"/>
      <c r="R150" s="2148"/>
      <c r="S150" s="2145"/>
      <c r="T150" s="1304"/>
      <c r="U150" s="1304"/>
      <c r="V150" s="1304"/>
      <c r="W150" s="1305"/>
      <c r="X150" s="1266"/>
      <c r="Y150" s="1266"/>
      <c r="Z150" s="1266"/>
      <c r="AA150" s="1266"/>
      <c r="AB150" s="1266"/>
      <c r="AC150" s="1266"/>
      <c r="AD150" s="1266"/>
      <c r="AE150" s="1266"/>
      <c r="AF150" s="1266"/>
      <c r="AG150" s="1266"/>
      <c r="AH150" s="1266"/>
      <c r="AI150" s="1266"/>
      <c r="AJ150" s="1266"/>
      <c r="AK150" s="1266"/>
      <c r="AL150" s="1266"/>
      <c r="AM150" s="1266"/>
      <c r="AN150" s="1266"/>
      <c r="AO150" s="1266"/>
      <c r="AP150" s="1266"/>
      <c r="AQ150" s="1266"/>
      <c r="AR150" s="1357">
        <v>0</v>
      </c>
    </row>
    <row s="1860" customFormat="1" customHeight="1" ht="17.25">
      <c r="A151" s="328"/>
      <c r="C151" s="327"/>
      <c r="D151" s="2143"/>
      <c r="E151" s="2151"/>
      <c r="F151" s="2153"/>
      <c r="G151" s="2151"/>
      <c r="H151" s="2156"/>
      <c r="I151" s="2158"/>
      <c r="J151" s="2161"/>
      <c r="K151" s="2145"/>
      <c r="L151" s="2145"/>
      <c r="M151" s="2145"/>
      <c r="N151" s="2148"/>
      <c r="O151" s="2145"/>
      <c r="P151" s="1451"/>
      <c r="Q151" s="1304"/>
      <c r="R151" s="1304"/>
      <c r="S151" s="336"/>
      <c r="T151" s="336"/>
      <c r="U151" s="336"/>
      <c r="V151" s="336"/>
      <c r="W151" s="1305"/>
      <c r="X151" s="1266"/>
      <c r="Y151" s="1266"/>
      <c r="Z151" s="1266"/>
      <c r="AA151" s="1266"/>
      <c r="AB151" s="1266"/>
      <c r="AC151" s="1266"/>
      <c r="AD151" s="1266"/>
      <c r="AE151" s="1266"/>
      <c r="AF151" s="1266"/>
      <c r="AG151" s="1266"/>
      <c r="AH151" s="1266"/>
      <c r="AI151" s="1266"/>
      <c r="AJ151" s="1266"/>
      <c r="AK151" s="1266"/>
      <c r="AL151" s="1266"/>
      <c r="AM151" s="1266"/>
      <c r="AN151" s="1266"/>
      <c r="AO151" s="1266"/>
      <c r="AP151" s="1266"/>
      <c r="AQ151" s="1266"/>
      <c r="AR151" s="1357">
        <v>0</v>
      </c>
    </row>
    <row s="1860" customFormat="1" customHeight="1" ht="17.25">
      <c r="A152" s="328"/>
      <c r="C152" s="327"/>
      <c r="D152" s="2143"/>
      <c r="E152" s="2151"/>
      <c r="F152" s="2153"/>
      <c r="G152" s="2151"/>
      <c r="H152" s="2156"/>
      <c r="I152" s="2158"/>
      <c r="J152" s="2161"/>
      <c r="K152" s="2145"/>
      <c r="L152" s="1304"/>
      <c r="M152" s="1304"/>
      <c r="N152" s="1304"/>
      <c r="O152" s="1304"/>
      <c r="P152" s="1304"/>
      <c r="Q152" s="1304"/>
      <c r="R152" s="1304"/>
      <c r="S152" s="336"/>
      <c r="T152" s="336"/>
      <c r="U152" s="336"/>
      <c r="V152" s="336"/>
      <c r="W152" s="1305"/>
      <c r="X152" s="1266"/>
      <c r="Y152" s="1266"/>
      <c r="Z152" s="1266"/>
      <c r="AA152" s="1266"/>
      <c r="AB152" s="1266"/>
      <c r="AC152" s="1266"/>
      <c r="AD152" s="1266"/>
      <c r="AE152" s="1266"/>
      <c r="AF152" s="1266"/>
      <c r="AG152" s="1266"/>
      <c r="AH152" s="1266"/>
      <c r="AI152" s="1266"/>
      <c r="AJ152" s="1266"/>
      <c r="AK152" s="1266"/>
      <c r="AL152" s="1266"/>
      <c r="AM152" s="1266"/>
      <c r="AN152" s="1266"/>
      <c r="AO152" s="1266"/>
      <c r="AP152" s="1266"/>
      <c r="AQ152" s="1266"/>
      <c r="AR152" s="1357">
        <v>0</v>
      </c>
    </row>
    <row s="1860" customFormat="1" customHeight="1" ht="17.25">
      <c r="A153" s="328"/>
      <c r="C153" s="327"/>
      <c r="D153" s="2143"/>
      <c r="E153" s="2151"/>
      <c r="F153" s="2154"/>
      <c r="G153" s="2151"/>
      <c r="H153" s="1306"/>
      <c r="I153" s="1307"/>
      <c r="J153" s="1307"/>
      <c r="K153" s="1307"/>
      <c r="L153" s="1307"/>
      <c r="M153" s="1307"/>
      <c r="N153" s="1307"/>
      <c r="O153" s="1307"/>
      <c r="P153" s="1307"/>
      <c r="Q153" s="1307"/>
      <c r="R153" s="1307"/>
      <c r="S153" s="1308"/>
      <c r="T153" s="1308"/>
      <c r="U153" s="1308"/>
      <c r="V153" s="1308"/>
      <c r="W153" s="1309"/>
      <c r="X153" s="1266"/>
      <c r="Y153" s="1266"/>
      <c r="Z153" s="1266"/>
      <c r="AA153" s="1266"/>
      <c r="AB153" s="1266"/>
      <c r="AC153" s="1266"/>
      <c r="AD153" s="1266"/>
      <c r="AE153" s="1266"/>
      <c r="AF153" s="1266"/>
      <c r="AG153" s="1266"/>
      <c r="AH153" s="1266"/>
      <c r="AI153" s="1266"/>
      <c r="AJ153" s="1266"/>
      <c r="AK153" s="1266"/>
      <c r="AL153" s="1266"/>
      <c r="AM153" s="1266"/>
      <c r="AN153" s="1266"/>
      <c r="AO153" s="1266"/>
      <c r="AP153" s="1266"/>
      <c r="AQ153" s="1266"/>
      <c r="AR153" s="1357">
        <v>0</v>
      </c>
    </row>
    <row s="1860" customFormat="1" customHeight="1" ht="17.25">
      <c r="A154" s="328"/>
      <c r="C154" s="216"/>
      <c r="D154" s="2142">
        <v>4</v>
      </c>
      <c r="E154" s="2150" t="s">
        <v>402</v>
      </c>
      <c r="F154" s="2152" t="s">
        <v>19</v>
      </c>
      <c r="G154" s="2150"/>
      <c r="H154" s="2155"/>
      <c r="I154" s="2157"/>
      <c r="J154" s="2159"/>
      <c r="K154" s="2144"/>
      <c r="L154" s="2144"/>
      <c r="M154" s="2144"/>
      <c r="N154" s="2146"/>
      <c r="O154" s="2144"/>
      <c r="P154" s="2144"/>
      <c r="Q154" s="2144"/>
      <c r="R154" s="2149"/>
      <c r="S154" s="2144"/>
      <c r="T154" s="1450"/>
      <c r="U154" s="1450"/>
      <c r="V154" s="1452"/>
      <c r="W154" s="1303"/>
      <c r="X154" s="1274"/>
      <c r="Y154" s="1274"/>
      <c r="Z154" s="1274"/>
      <c r="AA154" s="1274"/>
      <c r="AB154" s="1274"/>
      <c r="AC154" s="1274" t="s">
        <v>403</v>
      </c>
      <c r="AD154" s="1274" t="s">
        <v>404</v>
      </c>
      <c r="AE154" s="1274" t="s">
        <v>405</v>
      </c>
      <c r="AF154" s="1274" t="s">
        <v>406</v>
      </c>
      <c r="AG154" s="1274"/>
      <c r="AH154" s="1274" t="str">
        <f>IF($E$154=0,"",$E$154)</f>
        <v>Тариф на подвоз воды</v>
      </c>
      <c r="AI154" s="1274" t="str">
        <f>IF($G$154=0,"",$G$154)</f>
        <v/>
      </c>
      <c r="AJ154" s="1274" t="str">
        <f>IF($J$154=0,"",$J$154)</f>
        <v/>
      </c>
      <c r="AK154" s="1274" t="str">
        <f>IF($K$154="нет","без дифференциации",IF($N$154=0,"",$N$154))</f>
        <v/>
      </c>
      <c r="AL154" s="1274" t="str">
        <f>IF($O$154="нет","без дифференциации",IF($R$154=0,"",$R$154))</f>
        <v/>
      </c>
      <c r="AM154" s="1274" t="str">
        <f>IF($S$154="нет","без дифференциации",IF($V$154=0,"",$V$154))</f>
        <v/>
      </c>
      <c r="AN154" s="1779">
        <f>$I$154</f>
        <v>0</v>
      </c>
      <c r="AO154" s="1274" t="str">
        <f>$I$154&amp;"."&amp;$M$154</f>
        <v>.</v>
      </c>
      <c r="AP154" s="1266" t="str">
        <f>$I$154&amp;"."&amp;$M$154&amp;"."&amp;$Q$154</f>
        <v>..</v>
      </c>
      <c r="AQ154" s="1266" t="str">
        <f>$I$154&amp;"."&amp;$M$154&amp;"."&amp;$Q$154&amp;"."&amp;$U$154</f>
        <v>...</v>
      </c>
      <c r="AR154" s="1357">
        <v>0</v>
      </c>
    </row>
    <row s="1860" customFormat="1" customHeight="1" ht="17.25">
      <c r="A155" s="328"/>
      <c r="C155" s="327"/>
      <c r="D155" s="2142"/>
      <c r="E155" s="2150"/>
      <c r="F155" s="2153"/>
      <c r="G155" s="2150"/>
      <c r="H155" s="2156"/>
      <c r="I155" s="2158"/>
      <c r="J155" s="2160"/>
      <c r="K155" s="2145"/>
      <c r="L155" s="2145"/>
      <c r="M155" s="2145"/>
      <c r="N155" s="2147"/>
      <c r="O155" s="2145"/>
      <c r="P155" s="2145"/>
      <c r="Q155" s="2145"/>
      <c r="R155" s="2148"/>
      <c r="S155" s="2145"/>
      <c r="T155" s="1304"/>
      <c r="U155" s="1304"/>
      <c r="V155" s="1304"/>
      <c r="W155" s="1305"/>
      <c r="X155" s="1266"/>
      <c r="Y155" s="1266"/>
      <c r="Z155" s="1266"/>
      <c r="AA155" s="1266"/>
      <c r="AB155" s="1266"/>
      <c r="AC155" s="1266"/>
      <c r="AD155" s="1266"/>
      <c r="AE155" s="1266"/>
      <c r="AF155" s="1266"/>
      <c r="AG155" s="1266"/>
      <c r="AH155" s="1266"/>
      <c r="AI155" s="1266"/>
      <c r="AJ155" s="1266"/>
      <c r="AK155" s="1266"/>
      <c r="AL155" s="1266"/>
      <c r="AM155" s="1266"/>
      <c r="AN155" s="1266"/>
      <c r="AO155" s="1266"/>
      <c r="AP155" s="1266"/>
      <c r="AQ155" s="1266"/>
      <c r="AR155" s="1357">
        <v>0</v>
      </c>
    </row>
    <row s="1860" customFormat="1" customHeight="1" ht="17.25">
      <c r="A156" s="328"/>
      <c r="C156" s="327"/>
      <c r="D156" s="2143"/>
      <c r="E156" s="2151"/>
      <c r="F156" s="2153"/>
      <c r="G156" s="2151"/>
      <c r="H156" s="2156"/>
      <c r="I156" s="2158"/>
      <c r="J156" s="2161"/>
      <c r="K156" s="2145"/>
      <c r="L156" s="2145"/>
      <c r="M156" s="2145"/>
      <c r="N156" s="2148"/>
      <c r="O156" s="2145"/>
      <c r="P156" s="1451"/>
      <c r="Q156" s="1304"/>
      <c r="R156" s="1304"/>
      <c r="S156" s="336"/>
      <c r="T156" s="336"/>
      <c r="U156" s="336"/>
      <c r="V156" s="336"/>
      <c r="W156" s="1305"/>
      <c r="X156" s="1266"/>
      <c r="Y156" s="1266"/>
      <c r="Z156" s="1266"/>
      <c r="AA156" s="1266"/>
      <c r="AB156" s="1266"/>
      <c r="AC156" s="1266"/>
      <c r="AD156" s="1266"/>
      <c r="AE156" s="1266"/>
      <c r="AF156" s="1266"/>
      <c r="AG156" s="1266"/>
      <c r="AH156" s="1266"/>
      <c r="AI156" s="1266"/>
      <c r="AJ156" s="1266"/>
      <c r="AK156" s="1266"/>
      <c r="AL156" s="1266"/>
      <c r="AM156" s="1266"/>
      <c r="AN156" s="1266"/>
      <c r="AO156" s="1266"/>
      <c r="AP156" s="1266"/>
      <c r="AQ156" s="1266"/>
      <c r="AR156" s="1357">
        <v>0</v>
      </c>
    </row>
    <row s="1860" customFormat="1" customHeight="1" ht="17.25">
      <c r="A157" s="328"/>
      <c r="C157" s="327"/>
      <c r="D157" s="2143"/>
      <c r="E157" s="2151"/>
      <c r="F157" s="2153"/>
      <c r="G157" s="2151"/>
      <c r="H157" s="2156"/>
      <c r="I157" s="2158"/>
      <c r="J157" s="2161"/>
      <c r="K157" s="2145"/>
      <c r="L157" s="1304"/>
      <c r="M157" s="1304"/>
      <c r="N157" s="1304"/>
      <c r="O157" s="1304"/>
      <c r="P157" s="1304"/>
      <c r="Q157" s="1304"/>
      <c r="R157" s="1304"/>
      <c r="S157" s="336"/>
      <c r="T157" s="336"/>
      <c r="U157" s="336"/>
      <c r="V157" s="336"/>
      <c r="W157" s="1305"/>
      <c r="X157" s="1266"/>
      <c r="Y157" s="1266"/>
      <c r="Z157" s="1266"/>
      <c r="AA157" s="1266"/>
      <c r="AB157" s="1266"/>
      <c r="AC157" s="1266"/>
      <c r="AD157" s="1266"/>
      <c r="AE157" s="1266"/>
      <c r="AF157" s="1266"/>
      <c r="AG157" s="1266"/>
      <c r="AH157" s="1266"/>
      <c r="AI157" s="1266"/>
      <c r="AJ157" s="1266"/>
      <c r="AK157" s="1266"/>
      <c r="AL157" s="1266"/>
      <c r="AM157" s="1266"/>
      <c r="AN157" s="1266"/>
      <c r="AO157" s="1266"/>
      <c r="AP157" s="1266"/>
      <c r="AQ157" s="1266"/>
      <c r="AR157" s="1357">
        <v>0</v>
      </c>
    </row>
    <row s="1860" customFormat="1" customHeight="1" ht="17.25">
      <c r="A158" s="328"/>
      <c r="C158" s="327"/>
      <c r="D158" s="2143"/>
      <c r="E158" s="2151"/>
      <c r="F158" s="2154"/>
      <c r="G158" s="2151"/>
      <c r="H158" s="1306"/>
      <c r="I158" s="1307"/>
      <c r="J158" s="1307"/>
      <c r="K158" s="1307"/>
      <c r="L158" s="1307"/>
      <c r="M158" s="1307"/>
      <c r="N158" s="1307"/>
      <c r="O158" s="1307"/>
      <c r="P158" s="1307"/>
      <c r="Q158" s="1307"/>
      <c r="R158" s="1307"/>
      <c r="S158" s="1308"/>
      <c r="T158" s="1308"/>
      <c r="U158" s="1308"/>
      <c r="V158" s="1308"/>
      <c r="W158" s="1309"/>
      <c r="X158" s="1266"/>
      <c r="Y158" s="1266"/>
      <c r="Z158" s="1266"/>
      <c r="AA158" s="1266"/>
      <c r="AB158" s="1266"/>
      <c r="AC158" s="1266"/>
      <c r="AD158" s="1266"/>
      <c r="AE158" s="1266"/>
      <c r="AF158" s="1266"/>
      <c r="AG158" s="1266"/>
      <c r="AH158" s="1266"/>
      <c r="AI158" s="1266"/>
      <c r="AJ158" s="1266"/>
      <c r="AK158" s="1266"/>
      <c r="AL158" s="1266"/>
      <c r="AM158" s="1266"/>
      <c r="AN158" s="1266"/>
      <c r="AO158" s="1266"/>
      <c r="AP158" s="1266"/>
      <c r="AQ158" s="1266"/>
      <c r="AR158" s="1357">
        <v>0</v>
      </c>
    </row>
    <row s="1860" customFormat="1" customHeight="1" ht="17.25">
      <c r="A159" s="328"/>
      <c r="C159" s="216"/>
      <c r="D159" s="2142">
        <v>5</v>
      </c>
      <c r="E159" s="2150" t="s">
        <v>407</v>
      </c>
      <c r="F159" s="2152" t="s">
        <v>19</v>
      </c>
      <c r="G159" s="2150"/>
      <c r="H159" s="2155"/>
      <c r="I159" s="2157"/>
      <c r="J159" s="2159"/>
      <c r="K159" s="2144"/>
      <c r="L159" s="2144"/>
      <c r="M159" s="2144"/>
      <c r="N159" s="2146"/>
      <c r="O159" s="2144"/>
      <c r="P159" s="2144"/>
      <c r="Q159" s="2144"/>
      <c r="R159" s="2149"/>
      <c r="S159" s="2144"/>
      <c r="T159" s="1950"/>
      <c r="U159" s="1950"/>
      <c r="V159" s="1952"/>
      <c r="W159" s="1303"/>
      <c r="X159" s="1274"/>
      <c r="Y159" s="1274"/>
      <c r="Z159" s="1274"/>
      <c r="AA159" s="1274"/>
      <c r="AB159" s="1274"/>
      <c r="AC159" s="1274" t="s">
        <v>408</v>
      </c>
      <c r="AD159" s="1274" t="s">
        <v>409</v>
      </c>
      <c r="AE159" s="1274" t="s">
        <v>410</v>
      </c>
      <c r="AF159" s="1274" t="s">
        <v>411</v>
      </c>
      <c r="AG159" s="1274"/>
      <c r="AH159" s="1274" t="str">
        <f>IF($E$159=0,"",$E$159)</f>
        <v>Тариф на подключение (технологическое присоединение) к централизованной системе холодного водоснабжения</v>
      </c>
      <c r="AI159" s="1274" t="str">
        <f>IF($G$159=0,"",$G$159)</f>
        <v/>
      </c>
      <c r="AJ159" s="1274" t="str">
        <f>IF($J$159=0,"",$J$159)</f>
        <v/>
      </c>
      <c r="AK159" s="1274" t="str">
        <f>IF($K$159="нет","без дифференциации",IF($N$159=0,"",$N$159))</f>
        <v/>
      </c>
      <c r="AL159" s="1274" t="str">
        <f>IF($O$159="нет","без дифференциации",IF($R$159=0,"",$R$159))</f>
        <v/>
      </c>
      <c r="AM159" s="1274" t="str">
        <f>IF($S$159="нет","без дифференциации",IF($V$159=0,"",$V$159))</f>
        <v/>
      </c>
      <c r="AN159" s="1779">
        <f>$I$159</f>
        <v>0</v>
      </c>
      <c r="AO159" s="1274" t="str">
        <f>$I$159&amp;"."&amp;$M$159</f>
        <v>.</v>
      </c>
      <c r="AP159" s="1273" t="str">
        <f>$I$159&amp;"."&amp;$M$159&amp;"."&amp;$Q$159</f>
        <v>..</v>
      </c>
      <c r="AQ159" s="1273" t="str">
        <f>$I$159&amp;"."&amp;$M$159&amp;"."&amp;$Q$159&amp;"."&amp;$U$159</f>
        <v>...</v>
      </c>
      <c r="AR159" s="1474">
        <v>0</v>
      </c>
    </row>
    <row s="1860" customFormat="1" customHeight="1" ht="17.25">
      <c r="A160" s="328"/>
      <c r="C160" s="327"/>
      <c r="D160" s="2142"/>
      <c r="E160" s="2150"/>
      <c r="F160" s="2153"/>
      <c r="G160" s="2150"/>
      <c r="H160" s="2156"/>
      <c r="I160" s="2158"/>
      <c r="J160" s="2160"/>
      <c r="K160" s="2145"/>
      <c r="L160" s="2145"/>
      <c r="M160" s="2145"/>
      <c r="N160" s="2147"/>
      <c r="O160" s="2145"/>
      <c r="P160" s="2145"/>
      <c r="Q160" s="2145"/>
      <c r="R160" s="2148"/>
      <c r="S160" s="2145"/>
      <c r="T160" s="1955"/>
      <c r="U160" s="1955"/>
      <c r="V160" s="1955"/>
      <c r="W160" s="1956"/>
      <c r="X160" s="1273"/>
      <c r="Y160" s="1273"/>
      <c r="Z160" s="1273"/>
      <c r="AA160" s="1273"/>
      <c r="AB160" s="1273"/>
      <c r="AC160" s="1273"/>
      <c r="AD160" s="1273"/>
      <c r="AE160" s="1273"/>
      <c r="AF160" s="1273"/>
      <c r="AG160" s="1273"/>
      <c r="AH160" s="1273"/>
      <c r="AI160" s="1273"/>
      <c r="AJ160" s="1273"/>
      <c r="AK160" s="1273"/>
      <c r="AL160" s="1273"/>
      <c r="AM160" s="1273"/>
      <c r="AN160" s="1273"/>
      <c r="AO160" s="1273"/>
      <c r="AP160" s="1273"/>
      <c r="AQ160" s="1273"/>
      <c r="AR160" s="1474">
        <v>0</v>
      </c>
    </row>
    <row s="1860" customFormat="1" customHeight="1" ht="17.25">
      <c r="A161" s="328"/>
      <c r="C161" s="327"/>
      <c r="D161" s="2143"/>
      <c r="E161" s="2151"/>
      <c r="F161" s="2153"/>
      <c r="G161" s="2151"/>
      <c r="H161" s="2156"/>
      <c r="I161" s="2158"/>
      <c r="J161" s="2161"/>
      <c r="K161" s="2145"/>
      <c r="L161" s="2145"/>
      <c r="M161" s="2145"/>
      <c r="N161" s="2148"/>
      <c r="O161" s="2145"/>
      <c r="P161" s="1951"/>
      <c r="Q161" s="1955"/>
      <c r="R161" s="1955"/>
      <c r="S161" s="336"/>
      <c r="T161" s="336"/>
      <c r="U161" s="336"/>
      <c r="V161" s="336"/>
      <c r="W161" s="1956"/>
      <c r="X161" s="1273"/>
      <c r="Y161" s="1273"/>
      <c r="Z161" s="1273"/>
      <c r="AA161" s="1273"/>
      <c r="AB161" s="1273"/>
      <c r="AC161" s="1273"/>
      <c r="AD161" s="1273"/>
      <c r="AE161" s="1273"/>
      <c r="AF161" s="1273"/>
      <c r="AG161" s="1273"/>
      <c r="AH161" s="1273"/>
      <c r="AI161" s="1273"/>
      <c r="AJ161" s="1273"/>
      <c r="AK161" s="1273"/>
      <c r="AL161" s="1273"/>
      <c r="AM161" s="1273"/>
      <c r="AN161" s="1273"/>
      <c r="AO161" s="1273"/>
      <c r="AP161" s="1273"/>
      <c r="AQ161" s="1273"/>
      <c r="AR161" s="1474">
        <v>0</v>
      </c>
    </row>
    <row s="1860" customFormat="1" customHeight="1" ht="17.25">
      <c r="A162" s="328"/>
      <c r="C162" s="327"/>
      <c r="D162" s="2143"/>
      <c r="E162" s="2151"/>
      <c r="F162" s="2153"/>
      <c r="G162" s="2151"/>
      <c r="H162" s="2156"/>
      <c r="I162" s="2158"/>
      <c r="J162" s="2161"/>
      <c r="K162" s="2145"/>
      <c r="L162" s="1955"/>
      <c r="M162" s="1955"/>
      <c r="N162" s="1955"/>
      <c r="O162" s="1955"/>
      <c r="P162" s="1955"/>
      <c r="Q162" s="1955"/>
      <c r="R162" s="1955"/>
      <c r="S162" s="336"/>
      <c r="T162" s="336"/>
      <c r="U162" s="336"/>
      <c r="V162" s="336"/>
      <c r="W162" s="1956"/>
      <c r="X162" s="1273"/>
      <c r="Y162" s="1273"/>
      <c r="Z162" s="1273"/>
      <c r="AA162" s="1273"/>
      <c r="AB162" s="1273"/>
      <c r="AC162" s="1273"/>
      <c r="AD162" s="1273"/>
      <c r="AE162" s="1273"/>
      <c r="AF162" s="1273"/>
      <c r="AG162" s="1273"/>
      <c r="AH162" s="1273"/>
      <c r="AI162" s="1273"/>
      <c r="AJ162" s="1273"/>
      <c r="AK162" s="1273"/>
      <c r="AL162" s="1273"/>
      <c r="AM162" s="1273"/>
      <c r="AN162" s="1273"/>
      <c r="AO162" s="1273"/>
      <c r="AP162" s="1273"/>
      <c r="AQ162" s="1273"/>
      <c r="AR162" s="1474">
        <v>0</v>
      </c>
    </row>
    <row s="1860" customFormat="1" customHeight="1" ht="17.25">
      <c r="A163" s="328"/>
      <c r="C163" s="327"/>
      <c r="D163" s="2143"/>
      <c r="E163" s="2151"/>
      <c r="F163" s="2154"/>
      <c r="G163" s="2151"/>
      <c r="H163" s="1306"/>
      <c r="I163" s="1953"/>
      <c r="J163" s="1953"/>
      <c r="K163" s="1953"/>
      <c r="L163" s="1953"/>
      <c r="M163" s="1953"/>
      <c r="N163" s="1953"/>
      <c r="O163" s="1953"/>
      <c r="P163" s="1953"/>
      <c r="Q163" s="1953"/>
      <c r="R163" s="1953"/>
      <c r="S163" s="1308"/>
      <c r="T163" s="1308"/>
      <c r="U163" s="1308"/>
      <c r="V163" s="1308"/>
      <c r="W163" s="1954"/>
      <c r="X163" s="1273"/>
      <c r="Y163" s="1273"/>
      <c r="Z163" s="1273"/>
      <c r="AA163" s="1273"/>
      <c r="AB163" s="1273"/>
      <c r="AC163" s="1273"/>
      <c r="AD163" s="1273"/>
      <c r="AE163" s="1273"/>
      <c r="AF163" s="1273"/>
      <c r="AG163" s="1273"/>
      <c r="AH163" s="1273"/>
      <c r="AI163" s="1273"/>
      <c r="AJ163" s="1273"/>
      <c r="AK163" s="1273"/>
      <c r="AL163" s="1273"/>
      <c r="AM163" s="1273"/>
      <c r="AN163" s="1273"/>
      <c r="AO163" s="1273"/>
      <c r="AP163" s="1273"/>
      <c r="AQ163" s="1273"/>
      <c r="AR163" s="1474">
        <v>0</v>
      </c>
    </row>
    <row s="1860" customFormat="1" customHeight="1" ht="11.25" hidden="1">
      <c r="A164" s="284"/>
      <c r="B164" s="284"/>
      <c r="Y164" s="1266"/>
      <c r="Z164" s="1266"/>
      <c r="AA164" s="1266"/>
      <c r="AB164" s="1266"/>
      <c r="AC164" s="1266"/>
      <c r="AD164" s="1266"/>
      <c r="AE164" s="1266"/>
      <c r="AF164" s="1266"/>
      <c r="AG164" s="1266"/>
      <c r="AH164" s="1266"/>
      <c r="AI164" s="1266"/>
      <c r="AJ164" s="1266"/>
      <c r="AK164" s="1266"/>
      <c r="AL164" s="1266"/>
      <c r="AM164" s="1266"/>
      <c r="AN164" s="1266"/>
      <c r="AO164" s="1266"/>
      <c r="AP164" s="1266"/>
      <c r="AQ164" s="1266"/>
      <c r="AR164" s="1474">
        <v>0</v>
      </c>
    </row>
    <row s="1860" customFormat="1" customHeight="1" ht="17.25" hidden="1">
      <c r="A165" s="328"/>
      <c r="C165" s="216"/>
      <c r="D165" s="2142">
        <v>1</v>
      </c>
      <c r="E165" s="2150" t="s">
        <v>412</v>
      </c>
      <c r="F165" s="2152" t="s">
        <v>19</v>
      </c>
      <c r="G165" s="2150"/>
      <c r="H165" s="2155"/>
      <c r="I165" s="2157"/>
      <c r="J165" s="2159"/>
      <c r="K165" s="2144"/>
      <c r="L165" s="2144"/>
      <c r="M165" s="2144"/>
      <c r="N165" s="2146"/>
      <c r="O165" s="2144"/>
      <c r="P165" s="2144"/>
      <c r="Q165" s="2144"/>
      <c r="R165" s="2149"/>
      <c r="S165" s="2144"/>
      <c r="T165" s="1477"/>
      <c r="U165" s="1477"/>
      <c r="V165" s="1479"/>
      <c r="W165" s="1303"/>
      <c r="Y165" s="1274"/>
      <c r="Z165" s="1274"/>
      <c r="AA165" s="1274"/>
      <c r="AB165" s="1274"/>
      <c r="AC165" s="1274" t="s">
        <v>413</v>
      </c>
      <c r="AD165" s="1274" t="s">
        <v>414</v>
      </c>
      <c r="AE165" s="1274" t="s">
        <v>415</v>
      </c>
      <c r="AF165" s="1274" t="s">
        <v>416</v>
      </c>
      <c r="AG165" s="1274"/>
      <c r="AH165" s="1274" t="str">
        <f>IF($E$165=0,"",$E$165)</f>
        <v>Тариф на горячую воду (горячее водоснабжение)</v>
      </c>
      <c r="AI165" s="1274" t="str">
        <f>IF($G$165=0,"",$G$165)</f>
        <v/>
      </c>
      <c r="AJ165" s="1274" t="str">
        <f>IF($J$165=0,"",$J$165)</f>
        <v/>
      </c>
      <c r="AK165" s="1274" t="str">
        <f>IF($K$165="нет","без дифференциации",IF($N$165=0,"",$N$165))</f>
        <v/>
      </c>
      <c r="AL165" s="1274" t="str">
        <f>IF($O$165="нет","без дифференциации",IF($R$165=0,"",$R$165))</f>
        <v/>
      </c>
      <c r="AM165" s="1274" t="str">
        <f>IF($S$165="нет","без дифференциации",IF($V$165=0,"",$V$165))</f>
        <v/>
      </c>
      <c r="AN165" s="1274">
        <f>$I$165</f>
        <v>0</v>
      </c>
      <c r="AO165" s="1274" t="str">
        <f>$I$165&amp;"."&amp;$M$165</f>
        <v>.</v>
      </c>
      <c r="AP165" s="1274" t="str">
        <f>$I$165&amp;"."&amp;$M$165&amp;"."&amp;$Q$165</f>
        <v>..</v>
      </c>
      <c r="AQ165" s="1274" t="str">
        <f>$I$165&amp;"."&amp;$M$165&amp;"."&amp;$Q$165&amp;"."&amp;$U$165</f>
        <v>...</v>
      </c>
      <c r="AR165" s="1474">
        <v>0</v>
      </c>
    </row>
    <row s="1860" customFormat="1" customHeight="1" ht="17.25" hidden="1">
      <c r="A166" s="328"/>
      <c r="C166" s="327"/>
      <c r="D166" s="2142"/>
      <c r="E166" s="2150"/>
      <c r="F166" s="2153"/>
      <c r="G166" s="2150"/>
      <c r="H166" s="2156"/>
      <c r="I166" s="2158"/>
      <c r="J166" s="2160"/>
      <c r="K166" s="2145"/>
      <c r="L166" s="2145"/>
      <c r="M166" s="2145"/>
      <c r="N166" s="2147"/>
      <c r="O166" s="2145"/>
      <c r="P166" s="2145"/>
      <c r="Q166" s="2145"/>
      <c r="R166" s="2148"/>
      <c r="S166" s="2145"/>
      <c r="T166" s="1304"/>
      <c r="U166" s="1304"/>
      <c r="V166" s="1304"/>
      <c r="W166" s="1305"/>
      <c r="Y166" s="1266"/>
      <c r="Z166" s="1266"/>
      <c r="AA166" s="1266"/>
      <c r="AB166" s="1266"/>
      <c r="AC166" s="1266"/>
      <c r="AD166" s="1266"/>
      <c r="AE166" s="1266"/>
      <c r="AF166" s="1266"/>
      <c r="AG166" s="1266"/>
      <c r="AH166" s="1266"/>
      <c r="AI166" s="1266"/>
      <c r="AJ166" s="1266"/>
      <c r="AK166" s="1266"/>
      <c r="AL166" s="1266"/>
      <c r="AM166" s="1266"/>
      <c r="AN166" s="1266"/>
      <c r="AO166" s="1266"/>
      <c r="AP166" s="1266"/>
      <c r="AQ166" s="1266"/>
      <c r="AR166" s="1474">
        <v>0</v>
      </c>
    </row>
    <row s="1860" customFormat="1" customHeight="1" ht="17.25" hidden="1">
      <c r="A167" s="328"/>
      <c r="C167" s="216"/>
      <c r="D167" s="2142"/>
      <c r="E167" s="2150"/>
      <c r="F167" s="2153"/>
      <c r="G167" s="2150"/>
      <c r="H167" s="2156"/>
      <c r="I167" s="2158"/>
      <c r="J167" s="2161"/>
      <c r="K167" s="2145"/>
      <c r="L167" s="2145"/>
      <c r="M167" s="2145"/>
      <c r="N167" s="2148"/>
      <c r="O167" s="2145"/>
      <c r="P167" s="1478"/>
      <c r="Q167" s="1304"/>
      <c r="R167" s="1304"/>
      <c r="S167" s="336"/>
      <c r="T167" s="336"/>
      <c r="U167" s="336"/>
      <c r="V167" s="336"/>
      <c r="W167" s="1305"/>
      <c r="Y167" s="1274"/>
      <c r="Z167" s="1274"/>
      <c r="AA167" s="1274"/>
      <c r="AB167" s="1274"/>
      <c r="AC167" s="1274"/>
      <c r="AD167" s="1274"/>
      <c r="AE167" s="1274"/>
      <c r="AF167" s="1274"/>
      <c r="AG167" s="1274"/>
      <c r="AH167" s="1274"/>
      <c r="AI167" s="1274"/>
      <c r="AJ167" s="1274"/>
      <c r="AK167" s="1274"/>
      <c r="AL167" s="1274"/>
      <c r="AM167" s="1274"/>
      <c r="AN167" s="1274"/>
      <c r="AO167" s="1274"/>
      <c r="AP167" s="1274"/>
      <c r="AQ167" s="1274"/>
      <c r="AR167" s="1474">
        <v>0</v>
      </c>
    </row>
    <row s="1860" customFormat="1" customHeight="1" ht="17.25" hidden="1">
      <c r="A168" s="328"/>
      <c r="C168" s="327"/>
      <c r="D168" s="2142"/>
      <c r="E168" s="2150"/>
      <c r="F168" s="2153"/>
      <c r="G168" s="2150"/>
      <c r="H168" s="2156"/>
      <c r="I168" s="2158"/>
      <c r="J168" s="2161"/>
      <c r="K168" s="2145"/>
      <c r="L168" s="1304"/>
      <c r="M168" s="1304"/>
      <c r="N168" s="1304"/>
      <c r="O168" s="1304"/>
      <c r="P168" s="1304"/>
      <c r="Q168" s="1304"/>
      <c r="R168" s="1304"/>
      <c r="S168" s="336"/>
      <c r="T168" s="336"/>
      <c r="U168" s="336"/>
      <c r="V168" s="336"/>
      <c r="W168" s="1305"/>
      <c r="Y168" s="1266"/>
      <c r="Z168" s="1266"/>
      <c r="AA168" s="1266"/>
      <c r="AB168" s="1266"/>
      <c r="AC168" s="1266"/>
      <c r="AD168" s="1266"/>
      <c r="AE168" s="1266"/>
      <c r="AF168" s="1266"/>
      <c r="AG168" s="1266"/>
      <c r="AH168" s="1266"/>
      <c r="AI168" s="1266"/>
      <c r="AJ168" s="1266"/>
      <c r="AK168" s="1266"/>
      <c r="AL168" s="1266"/>
      <c r="AM168" s="1266"/>
      <c r="AN168" s="1266"/>
      <c r="AO168" s="1266"/>
      <c r="AP168" s="1266"/>
      <c r="AQ168" s="1266"/>
      <c r="AR168" s="1474">
        <v>0</v>
      </c>
    </row>
    <row s="1860" customFormat="1" customHeight="1" ht="17.25" hidden="1">
      <c r="A169" s="328"/>
      <c r="C169" s="327"/>
      <c r="D169" s="2143"/>
      <c r="E169" s="2151"/>
      <c r="F169" s="2154"/>
      <c r="G169" s="2151"/>
      <c r="H169" s="1306"/>
      <c r="I169" s="1307"/>
      <c r="J169" s="1307"/>
      <c r="K169" s="1307"/>
      <c r="L169" s="1307"/>
      <c r="M169" s="1307"/>
      <c r="N169" s="1307"/>
      <c r="O169" s="1307"/>
      <c r="P169" s="1307"/>
      <c r="Q169" s="1307"/>
      <c r="R169" s="1307"/>
      <c r="S169" s="1308"/>
      <c r="T169" s="1308"/>
      <c r="U169" s="1308"/>
      <c r="V169" s="1308"/>
      <c r="W169" s="1309"/>
      <c r="Y169" s="1266"/>
      <c r="Z169" s="1266"/>
      <c r="AA169" s="1266"/>
      <c r="AB169" s="1266"/>
      <c r="AC169" s="1266"/>
      <c r="AD169" s="1266"/>
      <c r="AE169" s="1266"/>
      <c r="AF169" s="1266"/>
      <c r="AG169" s="1266"/>
      <c r="AH169" s="1266"/>
      <c r="AI169" s="1266"/>
      <c r="AJ169" s="1266"/>
      <c r="AK169" s="1266"/>
      <c r="AL169" s="1266"/>
      <c r="AM169" s="1266"/>
      <c r="AN169" s="1266"/>
      <c r="AO169" s="1266"/>
      <c r="AP169" s="1266"/>
      <c r="AQ169" s="1266"/>
      <c r="AR169" s="1474">
        <v>0</v>
      </c>
    </row>
    <row s="1860" customFormat="1" customHeight="1" ht="17.25" hidden="1">
      <c r="A170" s="328"/>
      <c r="C170" s="216"/>
      <c r="D170" s="2142">
        <v>2</v>
      </c>
      <c r="E170" s="2150" t="s">
        <v>417</v>
      </c>
      <c r="F170" s="2152" t="s">
        <v>19</v>
      </c>
      <c r="G170" s="2150"/>
      <c r="H170" s="2155"/>
      <c r="I170" s="2157"/>
      <c r="J170" s="2159"/>
      <c r="K170" s="2144"/>
      <c r="L170" s="2144"/>
      <c r="M170" s="2144"/>
      <c r="N170" s="2146"/>
      <c r="O170" s="2144"/>
      <c r="P170" s="2144"/>
      <c r="Q170" s="2144"/>
      <c r="R170" s="2149"/>
      <c r="S170" s="2144"/>
      <c r="T170" s="1477"/>
      <c r="U170" s="1477"/>
      <c r="V170" s="1479"/>
      <c r="W170" s="1303"/>
      <c r="X170" s="1274"/>
      <c r="Y170" s="1274"/>
      <c r="Z170" s="1274"/>
      <c r="AA170" s="1274"/>
      <c r="AB170" s="1274"/>
      <c r="AC170" s="1274" t="s">
        <v>418</v>
      </c>
      <c r="AD170" s="1274" t="s">
        <v>419</v>
      </c>
      <c r="AE170" s="1274" t="s">
        <v>420</v>
      </c>
      <c r="AF170" s="1274" t="s">
        <v>421</v>
      </c>
      <c r="AG170" s="1274"/>
      <c r="AH170" s="1274" t="str">
        <f>IF($E$170=0,"",$E$170)</f>
        <v>Тариф на транспортировку горячей воды</v>
      </c>
      <c r="AI170" s="1274" t="str">
        <f>IF($G$170=0,"",$G$170)</f>
        <v/>
      </c>
      <c r="AJ170" s="1274" t="str">
        <f>IF($J$170=0,"",$J$170)</f>
        <v/>
      </c>
      <c r="AK170" s="1274" t="str">
        <f>IF($K$170="нет","без дифференциации",IF($N$170=0,"",$N$170))</f>
        <v/>
      </c>
      <c r="AL170" s="1274" t="str">
        <f>IF($O$170="нет","без дифференциации",IF($R$170=0,"",$R$170))</f>
        <v/>
      </c>
      <c r="AM170" s="1274" t="str">
        <f>IF($S$170="нет","без дифференциации",IF($V$170=0,"",$V$170))</f>
        <v/>
      </c>
      <c r="AN170" s="1779">
        <f>$I$170</f>
        <v>0</v>
      </c>
      <c r="AO170" s="1274" t="str">
        <f>$I$170&amp;"."&amp;$M$170</f>
        <v>.</v>
      </c>
      <c r="AP170" s="1266" t="str">
        <f>$I$170&amp;"."&amp;$M$170&amp;"."&amp;$Q$170</f>
        <v>..</v>
      </c>
      <c r="AQ170" s="1266" t="str">
        <f>$I$170&amp;"."&amp;$M$170&amp;"."&amp;$Q$170&amp;"."&amp;$U$170</f>
        <v>...</v>
      </c>
      <c r="AR170" s="1474">
        <v>0</v>
      </c>
    </row>
    <row s="1860" customFormat="1" customHeight="1" ht="17.25" hidden="1">
      <c r="A171" s="328"/>
      <c r="C171" s="327"/>
      <c r="D171" s="2142"/>
      <c r="E171" s="2150"/>
      <c r="F171" s="2153"/>
      <c r="G171" s="2150"/>
      <c r="H171" s="2156"/>
      <c r="I171" s="2158"/>
      <c r="J171" s="2160"/>
      <c r="K171" s="2145"/>
      <c r="L171" s="2145"/>
      <c r="M171" s="2145"/>
      <c r="N171" s="2147"/>
      <c r="O171" s="2145"/>
      <c r="P171" s="2145"/>
      <c r="Q171" s="2145"/>
      <c r="R171" s="2148"/>
      <c r="S171" s="2145"/>
      <c r="T171" s="1304"/>
      <c r="U171" s="1304"/>
      <c r="V171" s="1304"/>
      <c r="W171" s="1305"/>
      <c r="X171" s="1266"/>
      <c r="Y171" s="1266"/>
      <c r="Z171" s="1266"/>
      <c r="AA171" s="1266"/>
      <c r="AB171" s="1266"/>
      <c r="AC171" s="1266"/>
      <c r="AD171" s="1266"/>
      <c r="AE171" s="1266"/>
      <c r="AF171" s="1266"/>
      <c r="AG171" s="1266"/>
      <c r="AH171" s="1266"/>
      <c r="AI171" s="1266"/>
      <c r="AJ171" s="1266"/>
      <c r="AK171" s="1266"/>
      <c r="AL171" s="1266"/>
      <c r="AM171" s="1266"/>
      <c r="AN171" s="1266"/>
      <c r="AO171" s="1266"/>
      <c r="AP171" s="1266"/>
      <c r="AQ171" s="1266"/>
      <c r="AR171" s="1474">
        <v>0</v>
      </c>
    </row>
    <row s="1860" customFormat="1" customHeight="1" ht="17.25" hidden="1">
      <c r="A172" s="328"/>
      <c r="C172" s="327"/>
      <c r="D172" s="2143"/>
      <c r="E172" s="2151"/>
      <c r="F172" s="2153"/>
      <c r="G172" s="2151"/>
      <c r="H172" s="2156"/>
      <c r="I172" s="2158"/>
      <c r="J172" s="2161"/>
      <c r="K172" s="2145"/>
      <c r="L172" s="2145"/>
      <c r="M172" s="2145"/>
      <c r="N172" s="2148"/>
      <c r="O172" s="2145"/>
      <c r="P172" s="1478"/>
      <c r="Q172" s="1304"/>
      <c r="R172" s="1304"/>
      <c r="S172" s="336"/>
      <c r="T172" s="336"/>
      <c r="U172" s="336"/>
      <c r="V172" s="336"/>
      <c r="W172" s="1305"/>
      <c r="X172" s="1266"/>
      <c r="Y172" s="1266"/>
      <c r="Z172" s="1266"/>
      <c r="AA172" s="1266"/>
      <c r="AB172" s="1266"/>
      <c r="AC172" s="1266"/>
      <c r="AD172" s="1266"/>
      <c r="AE172" s="1266"/>
      <c r="AF172" s="1266"/>
      <c r="AG172" s="1266"/>
      <c r="AH172" s="1266"/>
      <c r="AI172" s="1266"/>
      <c r="AJ172" s="1266"/>
      <c r="AK172" s="1266"/>
      <c r="AL172" s="1266"/>
      <c r="AM172" s="1266"/>
      <c r="AN172" s="1266"/>
      <c r="AO172" s="1266"/>
      <c r="AP172" s="1266"/>
      <c r="AQ172" s="1266"/>
      <c r="AR172" s="1474">
        <v>0</v>
      </c>
    </row>
    <row s="1860" customFormat="1" customHeight="1" ht="17.25" hidden="1">
      <c r="A173" s="328"/>
      <c r="C173" s="327"/>
      <c r="D173" s="2143"/>
      <c r="E173" s="2151"/>
      <c r="F173" s="2153"/>
      <c r="G173" s="2151"/>
      <c r="H173" s="2156"/>
      <c r="I173" s="2158"/>
      <c r="J173" s="2161"/>
      <c r="K173" s="2145"/>
      <c r="L173" s="1304"/>
      <c r="M173" s="1304"/>
      <c r="N173" s="1304"/>
      <c r="O173" s="1304"/>
      <c r="P173" s="1304"/>
      <c r="Q173" s="1304"/>
      <c r="R173" s="1304"/>
      <c r="S173" s="336"/>
      <c r="T173" s="336"/>
      <c r="U173" s="336"/>
      <c r="V173" s="336"/>
      <c r="W173" s="1305"/>
      <c r="X173" s="1266"/>
      <c r="Y173" s="1266"/>
      <c r="Z173" s="1266"/>
      <c r="AA173" s="1266"/>
      <c r="AB173" s="1266"/>
      <c r="AC173" s="1266"/>
      <c r="AD173" s="1266"/>
      <c r="AE173" s="1266"/>
      <c r="AF173" s="1266"/>
      <c r="AG173" s="1266"/>
      <c r="AH173" s="1266"/>
      <c r="AI173" s="1266"/>
      <c r="AJ173" s="1266"/>
      <c r="AK173" s="1266"/>
      <c r="AL173" s="1266"/>
      <c r="AM173" s="1266"/>
      <c r="AN173" s="1266"/>
      <c r="AO173" s="1266"/>
      <c r="AP173" s="1266"/>
      <c r="AQ173" s="1266"/>
      <c r="AR173" s="1474">
        <v>0</v>
      </c>
    </row>
    <row s="1860" customFormat="1" customHeight="1" ht="17.25" hidden="1">
      <c r="A174" s="328"/>
      <c r="C174" s="327"/>
      <c r="D174" s="2143"/>
      <c r="E174" s="2151"/>
      <c r="F174" s="2154"/>
      <c r="G174" s="2151"/>
      <c r="H174" s="1306"/>
      <c r="I174" s="1307"/>
      <c r="J174" s="1307"/>
      <c r="K174" s="1307"/>
      <c r="L174" s="1307"/>
      <c r="M174" s="1307"/>
      <c r="N174" s="1307"/>
      <c r="O174" s="1307"/>
      <c r="P174" s="1307"/>
      <c r="Q174" s="1307"/>
      <c r="R174" s="1307"/>
      <c r="S174" s="1308"/>
      <c r="T174" s="1308"/>
      <c r="U174" s="1308"/>
      <c r="V174" s="1308"/>
      <c r="W174" s="1309"/>
      <c r="X174" s="1266"/>
      <c r="Y174" s="1266"/>
      <c r="Z174" s="1266"/>
      <c r="AA174" s="1266"/>
      <c r="AB174" s="1266"/>
      <c r="AC174" s="1266"/>
      <c r="AD174" s="1266"/>
      <c r="AE174" s="1266"/>
      <c r="AF174" s="1266"/>
      <c r="AG174" s="1266"/>
      <c r="AH174" s="1266"/>
      <c r="AI174" s="1266"/>
      <c r="AJ174" s="1266"/>
      <c r="AK174" s="1266"/>
      <c r="AL174" s="1266"/>
      <c r="AM174" s="1266"/>
      <c r="AN174" s="1266"/>
      <c r="AO174" s="1266"/>
      <c r="AP174" s="1266"/>
      <c r="AQ174" s="1266"/>
      <c r="AR174" s="1474">
        <v>0</v>
      </c>
    </row>
    <row s="1860" customFormat="1" customHeight="1" ht="17.25" hidden="1">
      <c r="A175" s="328"/>
      <c r="C175" s="216"/>
      <c r="D175" s="2142">
        <v>3</v>
      </c>
      <c r="E175" s="2150" t="s">
        <v>422</v>
      </c>
      <c r="F175" s="2152" t="s">
        <v>19</v>
      </c>
      <c r="G175" s="2150"/>
      <c r="H175" s="2155"/>
      <c r="I175" s="2157"/>
      <c r="J175" s="2159"/>
      <c r="K175" s="2144"/>
      <c r="L175" s="2144"/>
      <c r="M175" s="2144"/>
      <c r="N175" s="2146"/>
      <c r="O175" s="2144"/>
      <c r="P175" s="2144"/>
      <c r="Q175" s="2144"/>
      <c r="R175" s="2149"/>
      <c r="S175" s="2144"/>
      <c r="T175" s="1950"/>
      <c r="U175" s="1950"/>
      <c r="V175" s="1952"/>
      <c r="W175" s="1303"/>
      <c r="X175" s="1274"/>
      <c r="Y175" s="1274"/>
      <c r="Z175" s="1274"/>
      <c r="AA175" s="1274"/>
      <c r="AB175" s="1274"/>
      <c r="AC175" s="1274" t="s">
        <v>423</v>
      </c>
      <c r="AD175" s="1274" t="s">
        <v>424</v>
      </c>
      <c r="AE175" s="1274" t="s">
        <v>425</v>
      </c>
      <c r="AF175" s="1274" t="s">
        <v>426</v>
      </c>
      <c r="AG175" s="1274"/>
      <c r="AH175" s="1274" t="str">
        <f>IF($E$175=0,"",$E$175)</f>
        <v>Тариф на подключение (технологическое присоединение) к централизованной системе горячего водоснабжения</v>
      </c>
      <c r="AI175" s="1274" t="str">
        <f>IF($G$175=0,"",$G$175)</f>
        <v/>
      </c>
      <c r="AJ175" s="1274" t="str">
        <f>IF($J$175=0,"",$J$175)</f>
        <v/>
      </c>
      <c r="AK175" s="1274" t="str">
        <f>IF($K$175="нет","без дифференциации",IF($N$175=0,"",$N$175))</f>
        <v/>
      </c>
      <c r="AL175" s="1274" t="str">
        <f>IF($O$175="нет","без дифференциации",IF($R$175=0,"",$R$175))</f>
        <v/>
      </c>
      <c r="AM175" s="1274" t="str">
        <f>IF($S$175="нет","без дифференциации",IF($V$175=0,"",$V$175))</f>
        <v/>
      </c>
      <c r="AN175" s="1779">
        <f>$I$175</f>
        <v>0</v>
      </c>
      <c r="AO175" s="1274" t="str">
        <f>$I$175&amp;"."&amp;$M$175</f>
        <v>.</v>
      </c>
      <c r="AP175" s="1273" t="str">
        <f>$I$175&amp;"."&amp;$M$175&amp;"."&amp;$Q$175</f>
        <v>..</v>
      </c>
      <c r="AQ175" s="1273" t="str">
        <f>$I$175&amp;"."&amp;$M$175&amp;"."&amp;$Q$175&amp;"."&amp;$U$175</f>
        <v>...</v>
      </c>
      <c r="AR175" s="1474">
        <v>0</v>
      </c>
    </row>
    <row s="1860" customFormat="1" customHeight="1" ht="17.25" hidden="1">
      <c r="A176" s="328"/>
      <c r="C176" s="327"/>
      <c r="D176" s="2142"/>
      <c r="E176" s="2150"/>
      <c r="F176" s="2153"/>
      <c r="G176" s="2150"/>
      <c r="H176" s="2156"/>
      <c r="I176" s="2158"/>
      <c r="J176" s="2160"/>
      <c r="K176" s="2145"/>
      <c r="L176" s="2145"/>
      <c r="M176" s="2145"/>
      <c r="N176" s="2147"/>
      <c r="O176" s="2145"/>
      <c r="P176" s="2145"/>
      <c r="Q176" s="2145"/>
      <c r="R176" s="2148"/>
      <c r="S176" s="2145"/>
      <c r="T176" s="1955"/>
      <c r="U176" s="1955"/>
      <c r="V176" s="1955"/>
      <c r="W176" s="1956"/>
      <c r="X176" s="1273"/>
      <c r="Y176" s="1273"/>
      <c r="Z176" s="1273"/>
      <c r="AA176" s="1273"/>
      <c r="AB176" s="1273"/>
      <c r="AC176" s="1273"/>
      <c r="AD176" s="1273"/>
      <c r="AE176" s="1273"/>
      <c r="AF176" s="1273"/>
      <c r="AG176" s="1273"/>
      <c r="AH176" s="1273"/>
      <c r="AI176" s="1273"/>
      <c r="AJ176" s="1273"/>
      <c r="AK176" s="1273"/>
      <c r="AL176" s="1273"/>
      <c r="AM176" s="1273"/>
      <c r="AN176" s="1273"/>
      <c r="AO176" s="1273"/>
      <c r="AP176" s="1273"/>
      <c r="AQ176" s="1273"/>
      <c r="AR176" s="1474">
        <v>0</v>
      </c>
    </row>
    <row s="1860" customFormat="1" customHeight="1" ht="17.25" hidden="1">
      <c r="A177" s="328"/>
      <c r="C177" s="327"/>
      <c r="D177" s="2143"/>
      <c r="E177" s="2151"/>
      <c r="F177" s="2153"/>
      <c r="G177" s="2151"/>
      <c r="H177" s="2156"/>
      <c r="I177" s="2158"/>
      <c r="J177" s="2161"/>
      <c r="K177" s="2145"/>
      <c r="L177" s="2145"/>
      <c r="M177" s="2145"/>
      <c r="N177" s="2148"/>
      <c r="O177" s="2145"/>
      <c r="P177" s="1951"/>
      <c r="Q177" s="1955"/>
      <c r="R177" s="1955"/>
      <c r="S177" s="336"/>
      <c r="T177" s="336"/>
      <c r="U177" s="336"/>
      <c r="V177" s="336"/>
      <c r="W177" s="1956"/>
      <c r="X177" s="1273"/>
      <c r="Y177" s="1273"/>
      <c r="Z177" s="1273"/>
      <c r="AA177" s="1273"/>
      <c r="AB177" s="1273"/>
      <c r="AC177" s="1273"/>
      <c r="AD177" s="1273"/>
      <c r="AE177" s="1273"/>
      <c r="AF177" s="1273"/>
      <c r="AG177" s="1273"/>
      <c r="AH177" s="1273"/>
      <c r="AI177" s="1273"/>
      <c r="AJ177" s="1273"/>
      <c r="AK177" s="1273"/>
      <c r="AL177" s="1273"/>
      <c r="AM177" s="1273"/>
      <c r="AN177" s="1273"/>
      <c r="AO177" s="1273"/>
      <c r="AP177" s="1273"/>
      <c r="AQ177" s="1273"/>
      <c r="AR177" s="1474">
        <v>0</v>
      </c>
    </row>
    <row s="1860" customFormat="1" customHeight="1" ht="17.25" hidden="1">
      <c r="A178" s="328"/>
      <c r="C178" s="327"/>
      <c r="D178" s="2143"/>
      <c r="E178" s="2151"/>
      <c r="F178" s="2153"/>
      <c r="G178" s="2151"/>
      <c r="H178" s="2156"/>
      <c r="I178" s="2158"/>
      <c r="J178" s="2161"/>
      <c r="K178" s="2145"/>
      <c r="L178" s="1955"/>
      <c r="M178" s="1955"/>
      <c r="N178" s="1955"/>
      <c r="O178" s="1955"/>
      <c r="P178" s="1955"/>
      <c r="Q178" s="1955"/>
      <c r="R178" s="1955"/>
      <c r="S178" s="336"/>
      <c r="T178" s="336"/>
      <c r="U178" s="336"/>
      <c r="V178" s="336"/>
      <c r="W178" s="1956"/>
      <c r="X178" s="1273"/>
      <c r="Y178" s="1273"/>
      <c r="Z178" s="1273"/>
      <c r="AA178" s="1273"/>
      <c r="AB178" s="1273"/>
      <c r="AC178" s="1273"/>
      <c r="AD178" s="1273"/>
      <c r="AE178" s="1273"/>
      <c r="AF178" s="1273"/>
      <c r="AG178" s="1273"/>
      <c r="AH178" s="1273"/>
      <c r="AI178" s="1273"/>
      <c r="AJ178" s="1273"/>
      <c r="AK178" s="1273"/>
      <c r="AL178" s="1273"/>
      <c r="AM178" s="1273"/>
      <c r="AN178" s="1273"/>
      <c r="AO178" s="1273"/>
      <c r="AP178" s="1273"/>
      <c r="AQ178" s="1273"/>
      <c r="AR178" s="1474">
        <v>0</v>
      </c>
    </row>
    <row s="1860" customFormat="1" customHeight="1" ht="17.25" hidden="1">
      <c r="A179" s="328"/>
      <c r="C179" s="327"/>
      <c r="D179" s="2143"/>
      <c r="E179" s="2151"/>
      <c r="F179" s="2154"/>
      <c r="G179" s="2151"/>
      <c r="H179" s="1306"/>
      <c r="I179" s="1953"/>
      <c r="J179" s="1953"/>
      <c r="K179" s="1953"/>
      <c r="L179" s="1953"/>
      <c r="M179" s="1953"/>
      <c r="N179" s="1953"/>
      <c r="O179" s="1953"/>
      <c r="P179" s="1953"/>
      <c r="Q179" s="1953"/>
      <c r="R179" s="1953"/>
      <c r="S179" s="1308"/>
      <c r="T179" s="1308"/>
      <c r="U179" s="1308"/>
      <c r="V179" s="1308"/>
      <c r="W179" s="1954"/>
      <c r="X179" s="1273"/>
      <c r="Y179" s="1273"/>
      <c r="Z179" s="1273"/>
      <c r="AA179" s="1273"/>
      <c r="AB179" s="1273"/>
      <c r="AC179" s="1273"/>
      <c r="AD179" s="1273"/>
      <c r="AE179" s="1273"/>
      <c r="AF179" s="1273"/>
      <c r="AG179" s="1273"/>
      <c r="AH179" s="1273"/>
      <c r="AI179" s="1273"/>
      <c r="AJ179" s="1273"/>
      <c r="AK179" s="1273"/>
      <c r="AL179" s="1273"/>
      <c r="AM179" s="1273"/>
      <c r="AN179" s="1273"/>
      <c r="AO179" s="1273"/>
      <c r="AP179" s="1273"/>
      <c r="AQ179" s="1273"/>
      <c r="AR179" s="1474">
        <v>0</v>
      </c>
    </row>
    <row s="1860" customFormat="1" customHeight="1" ht="11.25" hidden="1">
      <c r="A180" s="284"/>
      <c r="B180" s="284"/>
      <c r="Y180" s="1266"/>
      <c r="Z180" s="1266"/>
      <c r="AA180" s="1266"/>
      <c r="AB180" s="1266"/>
      <c r="AC180" s="1266"/>
      <c r="AD180" s="1266"/>
      <c r="AE180" s="1266"/>
      <c r="AF180" s="1266"/>
      <c r="AG180" s="1266"/>
      <c r="AH180" s="1266"/>
      <c r="AI180" s="1266"/>
      <c r="AJ180" s="1266"/>
      <c r="AK180" s="1266"/>
      <c r="AL180" s="1266"/>
      <c r="AM180" s="1266"/>
      <c r="AN180" s="1266"/>
      <c r="AO180" s="1266"/>
      <c r="AP180" s="1266"/>
      <c r="AQ180" s="1266"/>
      <c r="AR180" s="1474">
        <v>0</v>
      </c>
    </row>
    <row s="1860" customFormat="1" customHeight="1" ht="17.25" hidden="1">
      <c r="A181" s="328"/>
      <c r="C181" s="216"/>
      <c r="D181" s="2142">
        <v>1</v>
      </c>
      <c r="E181" s="2150" t="s">
        <v>427</v>
      </c>
      <c r="F181" s="2152" t="s">
        <v>19</v>
      </c>
      <c r="G181" s="2150"/>
      <c r="H181" s="2155"/>
      <c r="I181" s="2157"/>
      <c r="J181" s="2159"/>
      <c r="K181" s="2144"/>
      <c r="L181" s="2144"/>
      <c r="M181" s="2144"/>
      <c r="N181" s="2146"/>
      <c r="O181" s="2144"/>
      <c r="P181" s="2144"/>
      <c r="Q181" s="2144"/>
      <c r="R181" s="2149"/>
      <c r="S181" s="2144"/>
      <c r="T181" s="1477"/>
      <c r="U181" s="1477"/>
      <c r="V181" s="1479"/>
      <c r="W181" s="1303"/>
      <c r="Y181" s="1274"/>
      <c r="Z181" s="1274"/>
      <c r="AA181" s="1274"/>
      <c r="AB181" s="1274"/>
      <c r="AC181" s="1274" t="s">
        <v>428</v>
      </c>
      <c r="AD181" s="1274" t="s">
        <v>429</v>
      </c>
      <c r="AE181" s="1274" t="s">
        <v>430</v>
      </c>
      <c r="AF181" s="1274" t="s">
        <v>431</v>
      </c>
      <c r="AG181" s="1274"/>
      <c r="AH181" s="1274" t="str">
        <f>IF($E$181=0,"",$E$181)</f>
        <v>Тариф на водоотведение</v>
      </c>
      <c r="AI181" s="1274" t="str">
        <f>IF($G$181=0,"",$G$181)</f>
        <v/>
      </c>
      <c r="AJ181" s="1274" t="str">
        <f>IF($J$181=0,"",$J$181)</f>
        <v/>
      </c>
      <c r="AK181" s="1274" t="str">
        <f>IF($K$181="нет","без дифференциации",IF($N$181=0,"",$N$181))</f>
        <v/>
      </c>
      <c r="AL181" s="1274" t="str">
        <f>IF($O$181="нет","без дифференциации",IF($R$181=0,"",$R$181))</f>
        <v/>
      </c>
      <c r="AM181" s="1274" t="str">
        <f>IF($S$181="нет","без дифференциации",IF($V$181=0,"",$V$181))</f>
        <v/>
      </c>
      <c r="AN181" s="1274">
        <f>$I$181</f>
        <v>0</v>
      </c>
      <c r="AO181" s="1274" t="str">
        <f>$I$181&amp;"."&amp;$M$181</f>
        <v>.</v>
      </c>
      <c r="AP181" s="1274" t="str">
        <f>$I$181&amp;"."&amp;$M$181&amp;"."&amp;$Q$181</f>
        <v>..</v>
      </c>
      <c r="AQ181" s="1274" t="str">
        <f>$I$181&amp;"."&amp;$M$181&amp;"."&amp;$Q$181&amp;"."&amp;$U$181</f>
        <v>...</v>
      </c>
      <c r="AR181" s="1474">
        <v>0</v>
      </c>
    </row>
    <row s="1860" customFormat="1" customHeight="1" ht="17.25" hidden="1">
      <c r="A182" s="328"/>
      <c r="C182" s="327"/>
      <c r="D182" s="2142"/>
      <c r="E182" s="2150"/>
      <c r="F182" s="2153"/>
      <c r="G182" s="2150"/>
      <c r="H182" s="2156"/>
      <c r="I182" s="2158"/>
      <c r="J182" s="2160"/>
      <c r="K182" s="2145"/>
      <c r="L182" s="2145"/>
      <c r="M182" s="2145"/>
      <c r="N182" s="2147"/>
      <c r="O182" s="2145"/>
      <c r="P182" s="2145"/>
      <c r="Q182" s="2145"/>
      <c r="R182" s="2148"/>
      <c r="S182" s="2145"/>
      <c r="T182" s="1304"/>
      <c r="U182" s="1304"/>
      <c r="V182" s="1304"/>
      <c r="W182" s="1305"/>
      <c r="Y182" s="1266"/>
      <c r="Z182" s="1266"/>
      <c r="AA182" s="1266"/>
      <c r="AB182" s="1266"/>
      <c r="AC182" s="1266"/>
      <c r="AD182" s="1266"/>
      <c r="AE182" s="1266"/>
      <c r="AF182" s="1266"/>
      <c r="AG182" s="1266"/>
      <c r="AH182" s="1266"/>
      <c r="AI182" s="1266"/>
      <c r="AJ182" s="1266"/>
      <c r="AK182" s="1266"/>
      <c r="AL182" s="1266"/>
      <c r="AM182" s="1266"/>
      <c r="AN182" s="1266"/>
      <c r="AO182" s="1266"/>
      <c r="AP182" s="1266"/>
      <c r="AQ182" s="1266"/>
      <c r="AR182" s="1474">
        <v>0</v>
      </c>
    </row>
    <row s="1860" customFormat="1" customHeight="1" ht="17.25" hidden="1">
      <c r="A183" s="328"/>
      <c r="C183" s="216"/>
      <c r="D183" s="2142"/>
      <c r="E183" s="2150"/>
      <c r="F183" s="2153"/>
      <c r="G183" s="2150"/>
      <c r="H183" s="2156"/>
      <c r="I183" s="2158"/>
      <c r="J183" s="2161"/>
      <c r="K183" s="2145"/>
      <c r="L183" s="2145"/>
      <c r="M183" s="2145"/>
      <c r="N183" s="2148"/>
      <c r="O183" s="2145"/>
      <c r="P183" s="1478"/>
      <c r="Q183" s="1304"/>
      <c r="R183" s="1304"/>
      <c r="S183" s="336"/>
      <c r="T183" s="336"/>
      <c r="U183" s="336"/>
      <c r="V183" s="336"/>
      <c r="W183" s="1305"/>
      <c r="Y183" s="1274"/>
      <c r="Z183" s="1274"/>
      <c r="AA183" s="1274"/>
      <c r="AB183" s="1274"/>
      <c r="AC183" s="1274"/>
      <c r="AD183" s="1274"/>
      <c r="AE183" s="1274"/>
      <c r="AF183" s="1274"/>
      <c r="AG183" s="1274"/>
      <c r="AH183" s="1274"/>
      <c r="AI183" s="1274"/>
      <c r="AJ183" s="1274"/>
      <c r="AK183" s="1274"/>
      <c r="AL183" s="1274"/>
      <c r="AM183" s="1274"/>
      <c r="AN183" s="1274"/>
      <c r="AO183" s="1274"/>
      <c r="AP183" s="1274"/>
      <c r="AQ183" s="1274"/>
      <c r="AR183" s="1474">
        <v>0</v>
      </c>
    </row>
    <row s="1860" customFormat="1" customHeight="1" ht="17.25" hidden="1">
      <c r="A184" s="328"/>
      <c r="C184" s="327"/>
      <c r="D184" s="2142"/>
      <c r="E184" s="2150"/>
      <c r="F184" s="2153"/>
      <c r="G184" s="2150"/>
      <c r="H184" s="2156"/>
      <c r="I184" s="2158"/>
      <c r="J184" s="2161"/>
      <c r="K184" s="2145"/>
      <c r="L184" s="1304"/>
      <c r="M184" s="1304"/>
      <c r="N184" s="1304"/>
      <c r="O184" s="1304"/>
      <c r="P184" s="1304"/>
      <c r="Q184" s="1304"/>
      <c r="R184" s="1304"/>
      <c r="S184" s="336"/>
      <c r="T184" s="336"/>
      <c r="U184" s="336"/>
      <c r="V184" s="336"/>
      <c r="W184" s="1305"/>
      <c r="Y184" s="1266"/>
      <c r="Z184" s="1266"/>
      <c r="AA184" s="1266"/>
      <c r="AB184" s="1266"/>
      <c r="AC184" s="1266"/>
      <c r="AD184" s="1266"/>
      <c r="AE184" s="1266"/>
      <c r="AF184" s="1266"/>
      <c r="AG184" s="1266"/>
      <c r="AH184" s="1266"/>
      <c r="AI184" s="1266"/>
      <c r="AJ184" s="1266"/>
      <c r="AK184" s="1266"/>
      <c r="AL184" s="1266"/>
      <c r="AM184" s="1266"/>
      <c r="AN184" s="1266"/>
      <c r="AO184" s="1266"/>
      <c r="AP184" s="1266"/>
      <c r="AQ184" s="1266"/>
      <c r="AR184" s="1474">
        <v>0</v>
      </c>
    </row>
    <row s="1860" customFormat="1" customHeight="1" ht="17.25" hidden="1">
      <c r="A185" s="328"/>
      <c r="C185" s="327"/>
      <c r="D185" s="2143"/>
      <c r="E185" s="2151"/>
      <c r="F185" s="2154"/>
      <c r="G185" s="2151"/>
      <c r="H185" s="1306"/>
      <c r="I185" s="1307"/>
      <c r="J185" s="1307"/>
      <c r="K185" s="1307"/>
      <c r="L185" s="1307"/>
      <c r="M185" s="1307"/>
      <c r="N185" s="1307"/>
      <c r="O185" s="1307"/>
      <c r="P185" s="1307"/>
      <c r="Q185" s="1307"/>
      <c r="R185" s="1307"/>
      <c r="S185" s="1308"/>
      <c r="T185" s="1308"/>
      <c r="U185" s="1308"/>
      <c r="V185" s="1308"/>
      <c r="W185" s="1309"/>
      <c r="Y185" s="1266"/>
      <c r="Z185" s="1266"/>
      <c r="AA185" s="1266"/>
      <c r="AB185" s="1266"/>
      <c r="AC185" s="1266"/>
      <c r="AD185" s="1266"/>
      <c r="AE185" s="1266"/>
      <c r="AF185" s="1266"/>
      <c r="AG185" s="1266"/>
      <c r="AH185" s="1266"/>
      <c r="AI185" s="1266"/>
      <c r="AJ185" s="1266"/>
      <c r="AK185" s="1266"/>
      <c r="AL185" s="1266"/>
      <c r="AM185" s="1266"/>
      <c r="AN185" s="1266"/>
      <c r="AO185" s="1266"/>
      <c r="AP185" s="1266"/>
      <c r="AQ185" s="1266"/>
      <c r="AR185" s="1474">
        <v>0</v>
      </c>
    </row>
    <row s="1860" customFormat="1" customHeight="1" ht="17.25" hidden="1">
      <c r="A186" s="328"/>
      <c r="C186" s="216"/>
      <c r="D186" s="2142">
        <v>2</v>
      </c>
      <c r="E186" s="2150" t="s">
        <v>432</v>
      </c>
      <c r="F186" s="2152" t="s">
        <v>19</v>
      </c>
      <c r="G186" s="2150"/>
      <c r="H186" s="2155"/>
      <c r="I186" s="2157"/>
      <c r="J186" s="2159"/>
      <c r="K186" s="2144"/>
      <c r="L186" s="2144"/>
      <c r="M186" s="2144"/>
      <c r="N186" s="2146"/>
      <c r="O186" s="2144"/>
      <c r="P186" s="2144"/>
      <c r="Q186" s="2144"/>
      <c r="R186" s="2149"/>
      <c r="S186" s="2144"/>
      <c r="T186" s="1477"/>
      <c r="U186" s="1477"/>
      <c r="V186" s="1479"/>
      <c r="W186" s="1303"/>
      <c r="X186" s="1274"/>
      <c r="Y186" s="1274"/>
      <c r="Z186" s="1274"/>
      <c r="AA186" s="1274"/>
      <c r="AB186" s="1274"/>
      <c r="AC186" s="1274" t="s">
        <v>433</v>
      </c>
      <c r="AD186" s="1274" t="s">
        <v>434</v>
      </c>
      <c r="AE186" s="1274" t="s">
        <v>435</v>
      </c>
      <c r="AF186" s="1274" t="s">
        <v>436</v>
      </c>
      <c r="AG186" s="1274"/>
      <c r="AH186" s="1274" t="str">
        <f>IF($E$186=0,"",$E$186)</f>
        <v>Тариф на транспортировку сточных вод</v>
      </c>
      <c r="AI186" s="1274" t="str">
        <f>IF($G$186=0,"",$G$186)</f>
        <v/>
      </c>
      <c r="AJ186" s="1274" t="str">
        <f>IF($J$186=0,"",$J$186)</f>
        <v/>
      </c>
      <c r="AK186" s="1274" t="str">
        <f>IF($K$186="нет","без дифференциации",IF($N$186=0,"",$N$186))</f>
        <v/>
      </c>
      <c r="AL186" s="1274" t="str">
        <f>IF($O$186="нет","без дифференциации",IF($R$186=0,"",$R$186))</f>
        <v/>
      </c>
      <c r="AM186" s="1274" t="str">
        <f>IF($S$186="нет","без дифференциации",IF($V$186=0,"",$V$186))</f>
        <v/>
      </c>
      <c r="AN186" s="1779">
        <f>$I$186</f>
        <v>0</v>
      </c>
      <c r="AO186" s="1274" t="str">
        <f>$I$186&amp;"."&amp;$M$186</f>
        <v>.</v>
      </c>
      <c r="AP186" s="1266" t="str">
        <f>$I$186&amp;"."&amp;$M$186&amp;"."&amp;$Q$186</f>
        <v>..</v>
      </c>
      <c r="AQ186" s="1266" t="str">
        <f>$I$186&amp;"."&amp;$M$186&amp;"."&amp;$Q$186&amp;"."&amp;$U$186</f>
        <v>...</v>
      </c>
      <c r="AR186" s="1474">
        <v>0</v>
      </c>
    </row>
    <row s="1860" customFormat="1" customHeight="1" ht="17.25" hidden="1">
      <c r="A187" s="328"/>
      <c r="C187" s="327"/>
      <c r="D187" s="2142"/>
      <c r="E187" s="2150"/>
      <c r="F187" s="2153"/>
      <c r="G187" s="2150"/>
      <c r="H187" s="2156"/>
      <c r="I187" s="2158"/>
      <c r="J187" s="2160"/>
      <c r="K187" s="2145"/>
      <c r="L187" s="2145"/>
      <c r="M187" s="2145"/>
      <c r="N187" s="2147"/>
      <c r="O187" s="2145"/>
      <c r="P187" s="2145"/>
      <c r="Q187" s="2145"/>
      <c r="R187" s="2148"/>
      <c r="S187" s="2145"/>
      <c r="T187" s="1304"/>
      <c r="U187" s="1304"/>
      <c r="V187" s="1304"/>
      <c r="W187" s="1305"/>
      <c r="X187" s="1266"/>
      <c r="Y187" s="1266"/>
      <c r="Z187" s="1266"/>
      <c r="AA187" s="1266"/>
      <c r="AB187" s="1266"/>
      <c r="AC187" s="1266"/>
      <c r="AD187" s="1266"/>
      <c r="AE187" s="1266"/>
      <c r="AF187" s="1266"/>
      <c r="AG187" s="1266"/>
      <c r="AH187" s="1266"/>
      <c r="AI187" s="1266"/>
      <c r="AJ187" s="1266"/>
      <c r="AK187" s="1266"/>
      <c r="AL187" s="1266"/>
      <c r="AM187" s="1266"/>
      <c r="AN187" s="1266"/>
      <c r="AO187" s="1266"/>
      <c r="AP187" s="1266"/>
      <c r="AQ187" s="1266"/>
      <c r="AR187" s="1474">
        <v>0</v>
      </c>
    </row>
    <row s="1860" customFormat="1" customHeight="1" ht="17.25" hidden="1">
      <c r="A188" s="328"/>
      <c r="C188" s="327"/>
      <c r="D188" s="2143"/>
      <c r="E188" s="2151"/>
      <c r="F188" s="2153"/>
      <c r="G188" s="2151"/>
      <c r="H188" s="2156"/>
      <c r="I188" s="2158"/>
      <c r="J188" s="2161"/>
      <c r="K188" s="2145"/>
      <c r="L188" s="2145"/>
      <c r="M188" s="2145"/>
      <c r="N188" s="2148"/>
      <c r="O188" s="2145"/>
      <c r="P188" s="1478"/>
      <c r="Q188" s="1304"/>
      <c r="R188" s="1304"/>
      <c r="S188" s="336"/>
      <c r="T188" s="336"/>
      <c r="U188" s="336"/>
      <c r="V188" s="336"/>
      <c r="W188" s="1305"/>
      <c r="X188" s="1266"/>
      <c r="Y188" s="1266"/>
      <c r="Z188" s="1266"/>
      <c r="AA188" s="1266"/>
      <c r="AB188" s="1266"/>
      <c r="AC188" s="1266"/>
      <c r="AD188" s="1266"/>
      <c r="AE188" s="1266"/>
      <c r="AF188" s="1266"/>
      <c r="AG188" s="1266"/>
      <c r="AH188" s="1266"/>
      <c r="AI188" s="1266"/>
      <c r="AJ188" s="1266"/>
      <c r="AK188" s="1266"/>
      <c r="AL188" s="1266"/>
      <c r="AM188" s="1266"/>
      <c r="AN188" s="1266"/>
      <c r="AO188" s="1266"/>
      <c r="AP188" s="1266"/>
      <c r="AQ188" s="1266"/>
      <c r="AR188" s="1474">
        <v>0</v>
      </c>
    </row>
    <row s="1860" customFormat="1" customHeight="1" ht="17.25" hidden="1">
      <c r="A189" s="328"/>
      <c r="C189" s="327"/>
      <c r="D189" s="2143"/>
      <c r="E189" s="2151"/>
      <c r="F189" s="2153"/>
      <c r="G189" s="2151"/>
      <c r="H189" s="2156"/>
      <c r="I189" s="2158"/>
      <c r="J189" s="2161"/>
      <c r="K189" s="2145"/>
      <c r="L189" s="1304"/>
      <c r="M189" s="1304"/>
      <c r="N189" s="1304"/>
      <c r="O189" s="1304"/>
      <c r="P189" s="1304"/>
      <c r="Q189" s="1304"/>
      <c r="R189" s="1304"/>
      <c r="S189" s="336"/>
      <c r="T189" s="336"/>
      <c r="U189" s="336"/>
      <c r="V189" s="336"/>
      <c r="W189" s="1305"/>
      <c r="X189" s="1266"/>
      <c r="Y189" s="1266"/>
      <c r="Z189" s="1266"/>
      <c r="AA189" s="1266"/>
      <c r="AB189" s="1266"/>
      <c r="AC189" s="1266"/>
      <c r="AD189" s="1266"/>
      <c r="AE189" s="1266"/>
      <c r="AF189" s="1266"/>
      <c r="AG189" s="1266"/>
      <c r="AH189" s="1266"/>
      <c r="AI189" s="1266"/>
      <c r="AJ189" s="1266"/>
      <c r="AK189" s="1266"/>
      <c r="AL189" s="1266"/>
      <c r="AM189" s="1266"/>
      <c r="AN189" s="1266"/>
      <c r="AO189" s="1266"/>
      <c r="AP189" s="1266"/>
      <c r="AQ189" s="1266"/>
      <c r="AR189" s="1474">
        <v>0</v>
      </c>
    </row>
    <row s="1860" customFormat="1" customHeight="1" ht="17.25" hidden="1">
      <c r="A190" s="328"/>
      <c r="C190" s="327"/>
      <c r="D190" s="2143"/>
      <c r="E190" s="2151"/>
      <c r="F190" s="2154"/>
      <c r="G190" s="2151"/>
      <c r="H190" s="1306"/>
      <c r="I190" s="1307"/>
      <c r="J190" s="1307"/>
      <c r="K190" s="1307"/>
      <c r="L190" s="1307"/>
      <c r="M190" s="1307"/>
      <c r="N190" s="1307"/>
      <c r="O190" s="1307"/>
      <c r="P190" s="1307"/>
      <c r="Q190" s="1307"/>
      <c r="R190" s="1307"/>
      <c r="S190" s="1308"/>
      <c r="T190" s="1308"/>
      <c r="U190" s="1308"/>
      <c r="V190" s="1308"/>
      <c r="W190" s="1309"/>
      <c r="X190" s="1266"/>
      <c r="Y190" s="1266"/>
      <c r="Z190" s="1266"/>
      <c r="AA190" s="1266"/>
      <c r="AB190" s="1266"/>
      <c r="AC190" s="1266"/>
      <c r="AD190" s="1266"/>
      <c r="AE190" s="1266"/>
      <c r="AF190" s="1266"/>
      <c r="AG190" s="1266"/>
      <c r="AH190" s="1266"/>
      <c r="AI190" s="1266"/>
      <c r="AJ190" s="1266"/>
      <c r="AK190" s="1266"/>
      <c r="AL190" s="1266"/>
      <c r="AM190" s="1266"/>
      <c r="AN190" s="1266"/>
      <c r="AO190" s="1266"/>
      <c r="AP190" s="1266"/>
      <c r="AQ190" s="1266"/>
      <c r="AR190" s="1474">
        <v>0</v>
      </c>
    </row>
    <row s="1860" customFormat="1" customHeight="1" ht="17.25" hidden="1">
      <c r="A191" s="328"/>
      <c r="C191" s="216"/>
      <c r="D191" s="2142">
        <v>3</v>
      </c>
      <c r="E191" s="2150" t="s">
        <v>437</v>
      </c>
      <c r="F191" s="2152" t="s">
        <v>19</v>
      </c>
      <c r="G191" s="2150"/>
      <c r="H191" s="2155"/>
      <c r="I191" s="2157"/>
      <c r="J191" s="2159"/>
      <c r="K191" s="2144"/>
      <c r="L191" s="2144"/>
      <c r="M191" s="2144"/>
      <c r="N191" s="2146"/>
      <c r="O191" s="2144"/>
      <c r="P191" s="2144"/>
      <c r="Q191" s="2144"/>
      <c r="R191" s="2149"/>
      <c r="S191" s="2144"/>
      <c r="T191" s="1950"/>
      <c r="U191" s="1950"/>
      <c r="V191" s="1952"/>
      <c r="W191" s="1303"/>
      <c r="X191" s="1274"/>
      <c r="Y191" s="1274"/>
      <c r="Z191" s="1274"/>
      <c r="AA191" s="1274"/>
      <c r="AB191" s="1274"/>
      <c r="AC191" s="1274" t="s">
        <v>438</v>
      </c>
      <c r="AD191" s="1274" t="s">
        <v>439</v>
      </c>
      <c r="AE191" s="1274" t="s">
        <v>440</v>
      </c>
      <c r="AF191" s="1274" t="s">
        <v>441</v>
      </c>
      <c r="AG191" s="1274"/>
      <c r="AH191" s="1274" t="str">
        <f>IF($E$191=0,"",$E$191)</f>
        <v>Тариф на подключение (технологическое присоединение) к централизованной системе водоотведения</v>
      </c>
      <c r="AI191" s="1274" t="str">
        <f>IF($G$191=0,"",$G$191)</f>
        <v/>
      </c>
      <c r="AJ191" s="1274" t="str">
        <f>IF($J$191=0,"",$J$191)</f>
        <v/>
      </c>
      <c r="AK191" s="1274" t="str">
        <f>IF($K$191="нет","без дифференциации",IF($N$191=0,"",$N$191))</f>
        <v/>
      </c>
      <c r="AL191" s="1274" t="str">
        <f>IF($O$191="нет","без дифференциации",IF($R$191=0,"",$R$191))</f>
        <v/>
      </c>
      <c r="AM191" s="1274" t="str">
        <f>IF($S$191="нет","без дифференциации",IF($V$191=0,"",$V$191))</f>
        <v/>
      </c>
      <c r="AN191" s="1779">
        <f>$I$191</f>
        <v>0</v>
      </c>
      <c r="AO191" s="1274" t="str">
        <f>$I$191&amp;"."&amp;$M$191</f>
        <v>.</v>
      </c>
      <c r="AP191" s="1273" t="str">
        <f>$I$191&amp;"."&amp;$M$191&amp;"."&amp;$Q$191</f>
        <v>..</v>
      </c>
      <c r="AQ191" s="1273" t="str">
        <f>$I$191&amp;"."&amp;$M$191&amp;"."&amp;$Q$191&amp;"."&amp;$U$191</f>
        <v>...</v>
      </c>
      <c r="AR191" s="1474">
        <v>0</v>
      </c>
    </row>
    <row s="1860" customFormat="1" customHeight="1" ht="17.25" hidden="1">
      <c r="A192" s="328"/>
      <c r="C192" s="327"/>
      <c r="D192" s="2142"/>
      <c r="E192" s="2150"/>
      <c r="F192" s="2153"/>
      <c r="G192" s="2150"/>
      <c r="H192" s="2156"/>
      <c r="I192" s="2158"/>
      <c r="J192" s="2160"/>
      <c r="K192" s="2145"/>
      <c r="L192" s="2145"/>
      <c r="M192" s="2145"/>
      <c r="N192" s="2147"/>
      <c r="O192" s="2145"/>
      <c r="P192" s="2145"/>
      <c r="Q192" s="2145"/>
      <c r="R192" s="2148"/>
      <c r="S192" s="2145"/>
      <c r="T192" s="1955"/>
      <c r="U192" s="1955"/>
      <c r="V192" s="1955"/>
      <c r="W192" s="1956"/>
      <c r="X192" s="1273"/>
      <c r="Y192" s="1273"/>
      <c r="Z192" s="1273"/>
      <c r="AA192" s="1273"/>
      <c r="AB192" s="1273"/>
      <c r="AC192" s="1273"/>
      <c r="AD192" s="1273"/>
      <c r="AE192" s="1273"/>
      <c r="AF192" s="1273"/>
      <c r="AG192" s="1273"/>
      <c r="AH192" s="1273"/>
      <c r="AI192" s="1273"/>
      <c r="AJ192" s="1273"/>
      <c r="AK192" s="1273"/>
      <c r="AL192" s="1273"/>
      <c r="AM192" s="1273"/>
      <c r="AN192" s="1273"/>
      <c r="AO192" s="1273"/>
      <c r="AP192" s="1273"/>
      <c r="AQ192" s="1273"/>
      <c r="AR192" s="1474">
        <v>0</v>
      </c>
    </row>
    <row s="1860" customFormat="1" customHeight="1" ht="17.25" hidden="1">
      <c r="A193" s="328"/>
      <c r="C193" s="327"/>
      <c r="D193" s="2143"/>
      <c r="E193" s="2151"/>
      <c r="F193" s="2153"/>
      <c r="G193" s="2151"/>
      <c r="H193" s="2156"/>
      <c r="I193" s="2158"/>
      <c r="J193" s="2161"/>
      <c r="K193" s="2145"/>
      <c r="L193" s="2145"/>
      <c r="M193" s="2145"/>
      <c r="N193" s="2148"/>
      <c r="O193" s="2145"/>
      <c r="P193" s="1951"/>
      <c r="Q193" s="1955"/>
      <c r="R193" s="1955"/>
      <c r="S193" s="336"/>
      <c r="T193" s="336"/>
      <c r="U193" s="336"/>
      <c r="V193" s="336"/>
      <c r="W193" s="1956"/>
      <c r="X193" s="1273"/>
      <c r="Y193" s="1273"/>
      <c r="Z193" s="1273"/>
      <c r="AA193" s="1273"/>
      <c r="AB193" s="1273"/>
      <c r="AC193" s="1273"/>
      <c r="AD193" s="1273"/>
      <c r="AE193" s="1273"/>
      <c r="AF193" s="1273"/>
      <c r="AG193" s="1273"/>
      <c r="AH193" s="1273"/>
      <c r="AI193" s="1273"/>
      <c r="AJ193" s="1273"/>
      <c r="AK193" s="1273"/>
      <c r="AL193" s="1273"/>
      <c r="AM193" s="1273"/>
      <c r="AN193" s="1273"/>
      <c r="AO193" s="1273"/>
      <c r="AP193" s="1273"/>
      <c r="AQ193" s="1273"/>
      <c r="AR193" s="1474">
        <v>0</v>
      </c>
    </row>
    <row s="1860" customFormat="1" customHeight="1" ht="17.25" hidden="1">
      <c r="A194" s="328"/>
      <c r="C194" s="327"/>
      <c r="D194" s="2143"/>
      <c r="E194" s="2151"/>
      <c r="F194" s="2153"/>
      <c r="G194" s="2151"/>
      <c r="H194" s="2156"/>
      <c r="I194" s="2158"/>
      <c r="J194" s="2161"/>
      <c r="K194" s="2145"/>
      <c r="L194" s="1955"/>
      <c r="M194" s="1955"/>
      <c r="N194" s="1955"/>
      <c r="O194" s="1955"/>
      <c r="P194" s="1955"/>
      <c r="Q194" s="1955"/>
      <c r="R194" s="1955"/>
      <c r="S194" s="336"/>
      <c r="T194" s="336"/>
      <c r="U194" s="336"/>
      <c r="V194" s="336"/>
      <c r="W194" s="1956"/>
      <c r="X194" s="1273"/>
      <c r="Y194" s="1273"/>
      <c r="Z194" s="1273"/>
      <c r="AA194" s="1273"/>
      <c r="AB194" s="1273"/>
      <c r="AC194" s="1273"/>
      <c r="AD194" s="1273"/>
      <c r="AE194" s="1273"/>
      <c r="AF194" s="1273"/>
      <c r="AG194" s="1273"/>
      <c r="AH194" s="1273"/>
      <c r="AI194" s="1273"/>
      <c r="AJ194" s="1273"/>
      <c r="AK194" s="1273"/>
      <c r="AL194" s="1273"/>
      <c r="AM194" s="1273"/>
      <c r="AN194" s="1273"/>
      <c r="AO194" s="1273"/>
      <c r="AP194" s="1273"/>
      <c r="AQ194" s="1273"/>
      <c r="AR194" s="1474">
        <v>0</v>
      </c>
    </row>
    <row s="1860" customFormat="1" customHeight="1" ht="17.25" hidden="1">
      <c r="A195" s="328"/>
      <c r="C195" s="327"/>
      <c r="D195" s="2143"/>
      <c r="E195" s="2151"/>
      <c r="F195" s="2154"/>
      <c r="G195" s="2151"/>
      <c r="H195" s="1306"/>
      <c r="I195" s="1953"/>
      <c r="J195" s="1953"/>
      <c r="K195" s="1953"/>
      <c r="L195" s="1953"/>
      <c r="M195" s="1953"/>
      <c r="N195" s="1953"/>
      <c r="O195" s="1953"/>
      <c r="P195" s="1953"/>
      <c r="Q195" s="1953"/>
      <c r="R195" s="1953"/>
      <c r="S195" s="1308"/>
      <c r="T195" s="1308"/>
      <c r="U195" s="1308"/>
      <c r="V195" s="1308"/>
      <c r="W195" s="1954"/>
      <c r="X195" s="1273"/>
      <c r="Y195" s="1273"/>
      <c r="Z195" s="1273"/>
      <c r="AA195" s="1273"/>
      <c r="AB195" s="1273"/>
      <c r="AC195" s="1273"/>
      <c r="AD195" s="1273"/>
      <c r="AE195" s="1273"/>
      <c r="AF195" s="1273"/>
      <c r="AG195" s="1273"/>
      <c r="AH195" s="1273"/>
      <c r="AI195" s="1273"/>
      <c r="AJ195" s="1273"/>
      <c r="AK195" s="1273"/>
      <c r="AL195" s="1273"/>
      <c r="AM195" s="1273"/>
      <c r="AN195" s="1273"/>
      <c r="AO195" s="1273"/>
      <c r="AP195" s="1273"/>
      <c r="AQ195" s="1273"/>
      <c r="AR195" s="1474">
        <v>0</v>
      </c>
    </row>
    <row customHeight="1" ht="11.549999999999999">
      <c r="AR196" s="111">
        <v>11</v>
      </c>
    </row>
    <row customHeight="1" ht="11.549999999999999">
      <c r="AR197" s="111">
        <v>11</v>
      </c>
    </row>
    <row customHeight="1" ht="11.549999999999999">
      <c r="AR198" s="111">
        <v>11</v>
      </c>
    </row>
    <row customHeight="1" ht="11.549999999999999">
      <c r="E199" s="1357"/>
      <c r="AR199" s="111">
        <v>11</v>
      </c>
    </row>
    <row customHeight="1" ht="11.549999999999999">
      <c r="E200" s="1357"/>
      <c r="AR200" s="111">
        <v>11</v>
      </c>
    </row>
    <row customHeight="1" ht="11.549999999999999">
      <c r="E201" s="1357"/>
      <c r="AR201" s="111">
        <v>11</v>
      </c>
    </row>
    <row customHeight="1" ht="11.549999999999999">
      <c r="E202" s="1357"/>
      <c r="AR202" s="111">
        <v>11</v>
      </c>
    </row>
    <row customHeight="1" ht="11.549999999999999">
      <c r="E203" s="1357"/>
      <c r="AR203" s="111">
        <v>11</v>
      </c>
    </row>
    <row customHeight="1" ht="11.549999999999999">
      <c r="E204" s="1357"/>
      <c r="AR204" s="111">
        <v>11</v>
      </c>
    </row>
    <row customHeight="1" ht="11.549999999999999">
      <c r="E205" s="1357"/>
      <c r="AR205" s="111">
        <v>11</v>
      </c>
    </row>
    <row customHeight="1" ht="11.25" hidden="1">
      <c r="A206" s="160" t="s">
        <v>82</v>
      </c>
      <c r="B206" s="160">
        <v>0</v>
      </c>
      <c r="C206" s="111">
        <v>3</v>
      </c>
      <c r="D206" s="111">
        <v>6</v>
      </c>
      <c r="E206" s="111">
        <v>42</v>
      </c>
      <c r="F206" s="1290">
        <v>14</v>
      </c>
      <c r="G206" s="111">
        <v>42</v>
      </c>
      <c r="H206" s="111">
        <v>3</v>
      </c>
      <c r="I206" s="111">
        <v>5</v>
      </c>
      <c r="J206" s="111">
        <v>47</v>
      </c>
      <c r="K206" s="111">
        <v>3</v>
      </c>
      <c r="L206" s="111">
        <v>3</v>
      </c>
      <c r="M206" s="111">
        <v>5</v>
      </c>
      <c r="N206" s="111">
        <v>28</v>
      </c>
      <c r="O206" s="111">
        <v>3</v>
      </c>
      <c r="P206" s="111">
        <v>3</v>
      </c>
      <c r="Q206" s="111">
        <v>5</v>
      </c>
      <c r="R206" s="111">
        <v>34</v>
      </c>
      <c r="S206" s="289">
        <v>0</v>
      </c>
      <c r="T206" s="289">
        <v>0</v>
      </c>
      <c r="U206" s="289">
        <v>0</v>
      </c>
      <c r="V206" s="289">
        <v>0</v>
      </c>
      <c r="W206" s="111">
        <v>30</v>
      </c>
      <c r="X206" s="111">
        <v>3</v>
      </c>
      <c r="Y206" s="1266">
        <v>0</v>
      </c>
      <c r="Z206" s="1266">
        <v>0</v>
      </c>
      <c r="AA206" s="1266">
        <v>0</v>
      </c>
      <c r="AB206" s="1266">
        <v>0</v>
      </c>
      <c r="AC206" s="1266">
        <v>0</v>
      </c>
      <c r="AD206" s="1266">
        <v>0</v>
      </c>
      <c r="AE206" s="1266">
        <v>0</v>
      </c>
      <c r="AF206" s="1266">
        <v>0</v>
      </c>
      <c r="AG206" s="1266">
        <v>0</v>
      </c>
      <c r="AH206" s="1266">
        <v>0</v>
      </c>
      <c r="AI206" s="1266">
        <v>0</v>
      </c>
      <c r="AJ206" s="1266">
        <v>0</v>
      </c>
      <c r="AK206" s="1266">
        <v>0</v>
      </c>
      <c r="AL206" s="1266">
        <v>0</v>
      </c>
      <c r="AM206" s="1266">
        <v>0</v>
      </c>
      <c r="AN206" s="1266">
        <v>0</v>
      </c>
      <c r="AO206" s="1266">
        <v>0</v>
      </c>
      <c r="AP206" s="1266">
        <v>0</v>
      </c>
      <c r="AQ206" s="1266">
        <v>0</v>
      </c>
      <c r="AR206" s="111">
        <v>11</v>
      </c>
    </row>
  </sheetData>
  <sheetProtection formatColumns="0" formatRows="0" autoFilter="0" sort="0" insertRows="0" insertColumns="1" deleteRows="0" deleteColumns="0"/>
  <mergeCells count="560">
    <mergeCell ref="R23:R24"/>
    <mergeCell ref="S23:S24"/>
    <mergeCell ref="G23:G27"/>
    <mergeCell ref="H23:H26"/>
    <mergeCell ref="I23:I26"/>
    <mergeCell ref="J23:J26"/>
    <mergeCell ref="K23:K26"/>
    <mergeCell ref="L23:L25"/>
    <mergeCell ref="M23:M25"/>
    <mergeCell ref="N23:N25"/>
    <mergeCell ref="O23:O25"/>
    <mergeCell ref="M191:M193"/>
    <mergeCell ref="N191:N193"/>
    <mergeCell ref="O191:O193"/>
    <mergeCell ref="P191:P192"/>
    <mergeCell ref="Q191:Q192"/>
    <mergeCell ref="R191:R192"/>
    <mergeCell ref="S191:S192"/>
    <mergeCell ref="D191:D195"/>
    <mergeCell ref="E191:E195"/>
    <mergeCell ref="F191:F195"/>
    <mergeCell ref="G191:G195"/>
    <mergeCell ref="H191:H194"/>
    <mergeCell ref="I191:I194"/>
    <mergeCell ref="J191:J194"/>
    <mergeCell ref="K191:K194"/>
    <mergeCell ref="L191:L193"/>
    <mergeCell ref="N159:N161"/>
    <mergeCell ref="O159:O161"/>
    <mergeCell ref="P159:P160"/>
    <mergeCell ref="Q159:Q160"/>
    <mergeCell ref="R159:R160"/>
    <mergeCell ref="S159:S160"/>
    <mergeCell ref="D175:D179"/>
    <mergeCell ref="E175:E179"/>
    <mergeCell ref="F175:F179"/>
    <mergeCell ref="G175:G179"/>
    <mergeCell ref="H175:H178"/>
    <mergeCell ref="I175:I178"/>
    <mergeCell ref="J175:J178"/>
    <mergeCell ref="K175:K178"/>
    <mergeCell ref="L175:L177"/>
    <mergeCell ref="M175:M177"/>
    <mergeCell ref="N175:N177"/>
    <mergeCell ref="O175:O177"/>
    <mergeCell ref="P175:P176"/>
    <mergeCell ref="Q175:Q176"/>
    <mergeCell ref="R175:R176"/>
    <mergeCell ref="S175:S176"/>
    <mergeCell ref="D159:D163"/>
    <mergeCell ref="E159:E163"/>
    <mergeCell ref="F159:F163"/>
    <mergeCell ref="G159:G163"/>
    <mergeCell ref="H159:H162"/>
    <mergeCell ref="I159:I162"/>
    <mergeCell ref="J159:J162"/>
    <mergeCell ref="K159:K162"/>
    <mergeCell ref="L159:L161"/>
    <mergeCell ref="S186:S187"/>
    <mergeCell ref="D186:D190"/>
    <mergeCell ref="E186:E190"/>
    <mergeCell ref="F186:F190"/>
    <mergeCell ref="G186:G190"/>
    <mergeCell ref="H186:H189"/>
    <mergeCell ref="I186:I189"/>
    <mergeCell ref="J186:J189"/>
    <mergeCell ref="K186:K189"/>
    <mergeCell ref="L186:L188"/>
    <mergeCell ref="H181:H184"/>
    <mergeCell ref="I181:I184"/>
    <mergeCell ref="J181:J184"/>
    <mergeCell ref="K181:K184"/>
    <mergeCell ref="L181:L183"/>
    <mergeCell ref="M181:M183"/>
    <mergeCell ref="N181:N183"/>
    <mergeCell ref="M186:M188"/>
    <mergeCell ref="N186:N188"/>
    <mergeCell ref="O186:O188"/>
    <mergeCell ref="P181:P182"/>
    <mergeCell ref="Q181:Q182"/>
    <mergeCell ref="R181:R182"/>
    <mergeCell ref="P186:P187"/>
    <mergeCell ref="Q186:Q187"/>
    <mergeCell ref="R186:R187"/>
    <mergeCell ref="S181:S182"/>
    <mergeCell ref="D181:D185"/>
    <mergeCell ref="E181:E185"/>
    <mergeCell ref="F181:F185"/>
    <mergeCell ref="G181:G185"/>
    <mergeCell ref="M170:M172"/>
    <mergeCell ref="N170:N172"/>
    <mergeCell ref="O170:O172"/>
    <mergeCell ref="P170:P171"/>
    <mergeCell ref="Q170:Q171"/>
    <mergeCell ref="R170:R171"/>
    <mergeCell ref="S170:S171"/>
    <mergeCell ref="D170:D174"/>
    <mergeCell ref="E170:E174"/>
    <mergeCell ref="F170:F174"/>
    <mergeCell ref="G170:G174"/>
    <mergeCell ref="H170:H173"/>
    <mergeCell ref="I170:I173"/>
    <mergeCell ref="J170:J173"/>
    <mergeCell ref="K170:K173"/>
    <mergeCell ref="L170:L172"/>
    <mergeCell ref="O181:O183"/>
    <mergeCell ref="R13:R14"/>
    <mergeCell ref="S13:S14"/>
    <mergeCell ref="M48:M50"/>
    <mergeCell ref="N48:N50"/>
    <mergeCell ref="O48:O50"/>
    <mergeCell ref="N38:N40"/>
    <mergeCell ref="D165:D169"/>
    <mergeCell ref="E165:E169"/>
    <mergeCell ref="F165:F169"/>
    <mergeCell ref="G165:G169"/>
    <mergeCell ref="H165:H168"/>
    <mergeCell ref="I165:I168"/>
    <mergeCell ref="J165:J168"/>
    <mergeCell ref="K165:K168"/>
    <mergeCell ref="L165:L167"/>
    <mergeCell ref="P53:P54"/>
    <mergeCell ref="Q53:Q54"/>
    <mergeCell ref="R53:R54"/>
    <mergeCell ref="S53:S54"/>
    <mergeCell ref="P48:P49"/>
    <mergeCell ref="Q48:Q49"/>
    <mergeCell ref="R48:R49"/>
    <mergeCell ref="S48:S49"/>
    <mergeCell ref="S28:S29"/>
    <mergeCell ref="S18:S19"/>
    <mergeCell ref="M165:M167"/>
    <mergeCell ref="N165:N167"/>
    <mergeCell ref="O165:O167"/>
    <mergeCell ref="P165:P166"/>
    <mergeCell ref="Q165:Q166"/>
    <mergeCell ref="R165:R166"/>
    <mergeCell ref="S165:S166"/>
    <mergeCell ref="O53:O55"/>
    <mergeCell ref="E77:W77"/>
    <mergeCell ref="E69:W69"/>
    <mergeCell ref="E70:W70"/>
    <mergeCell ref="E71:W71"/>
    <mergeCell ref="E72:W72"/>
    <mergeCell ref="E73:W73"/>
    <mergeCell ref="E75:W75"/>
    <mergeCell ref="E76:W76"/>
    <mergeCell ref="K149:K15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143"/>
    <mergeCell ref="E79:E143"/>
    <mergeCell ref="D144:D148"/>
    <mergeCell ref="E144:E148"/>
    <mergeCell ref="F144:F148"/>
    <mergeCell ref="G144:G148"/>
    <mergeCell ref="H144:H147"/>
    <mergeCell ref="I144:I147"/>
    <mergeCell ref="J144:J147"/>
    <mergeCell ref="F79:F143"/>
    <mergeCell ref="G79:G143"/>
    <mergeCell ref="K13:K16"/>
    <mergeCell ref="G18:G22"/>
    <mergeCell ref="K18:K21"/>
    <mergeCell ref="N28:N30"/>
    <mergeCell ref="L149:L151"/>
    <mergeCell ref="Q144:Q145"/>
    <mergeCell ref="R144:R145"/>
    <mergeCell ref="S144:S145"/>
    <mergeCell ref="K144:K147"/>
    <mergeCell ref="N144:N146"/>
    <mergeCell ref="O144:O146"/>
    <mergeCell ref="P144:P145"/>
    <mergeCell ref="S149:S150"/>
    <mergeCell ref="N149:N151"/>
    <mergeCell ref="O149:O151"/>
    <mergeCell ref="P149:P150"/>
    <mergeCell ref="Q149:Q150"/>
    <mergeCell ref="R149:R150"/>
    <mergeCell ref="L144:L146"/>
    <mergeCell ref="M144:M146"/>
    <mergeCell ref="M154:M156"/>
    <mergeCell ref="N154:N156"/>
    <mergeCell ref="O154:O156"/>
    <mergeCell ref="P154:P155"/>
    <mergeCell ref="Q154:Q155"/>
    <mergeCell ref="R154:R155"/>
    <mergeCell ref="S154:S155"/>
    <mergeCell ref="D149:D153"/>
    <mergeCell ref="E149:E153"/>
    <mergeCell ref="M149:M151"/>
    <mergeCell ref="D154:D158"/>
    <mergeCell ref="E154:E158"/>
    <mergeCell ref="F154:F158"/>
    <mergeCell ref="G154:G158"/>
    <mergeCell ref="H154:H157"/>
    <mergeCell ref="I154:I157"/>
    <mergeCell ref="J154:J157"/>
    <mergeCell ref="K154:K157"/>
    <mergeCell ref="L154:L156"/>
    <mergeCell ref="F149:F153"/>
    <mergeCell ref="G149:G153"/>
    <mergeCell ref="H149:H152"/>
    <mergeCell ref="I149:I152"/>
    <mergeCell ref="J149:J152"/>
    <mergeCell ref="S63:S64"/>
    <mergeCell ref="E58:E62"/>
    <mergeCell ref="F58:F62"/>
    <mergeCell ref="G58:G62"/>
    <mergeCell ref="H58:H61"/>
    <mergeCell ref="I58:I61"/>
    <mergeCell ref="J58:J61"/>
    <mergeCell ref="K58:K61"/>
    <mergeCell ref="L58:L60"/>
    <mergeCell ref="D58:D62"/>
    <mergeCell ref="M159:M16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79:M81"/>
    <mergeCell ref="N79:N81"/>
    <mergeCell ref="S79:S80"/>
    <mergeCell ref="H79:H142"/>
    <mergeCell ref="I79:I142"/>
    <mergeCell ref="J79:J142"/>
    <mergeCell ref="K79:K142"/>
    <mergeCell ref="L79:L81"/>
    <mergeCell ref="W79:W80"/>
    <mergeCell ref="O79:O81"/>
    <mergeCell ref="P79:P80"/>
    <mergeCell ref="Q79:Q80"/>
    <mergeCell ref="R79:R80"/>
    <mergeCell ref="L82:L84"/>
    <mergeCell ref="M82:M84"/>
    <mergeCell ref="N82:N84"/>
    <mergeCell ref="O82:O84"/>
    <mergeCell ref="P82:P83"/>
    <mergeCell ref="Q82:Q83"/>
    <mergeCell ref="R82:R83"/>
    <mergeCell ref="S82:S83"/>
    <mergeCell ref="W82:W83"/>
    <mergeCell ref="L85:L87"/>
    <mergeCell ref="M85:M87"/>
    <mergeCell ref="N85:N87"/>
    <mergeCell ref="O85:O87"/>
    <mergeCell ref="P85:P86"/>
    <mergeCell ref="Q85:Q86"/>
    <mergeCell ref="R85:R86"/>
    <mergeCell ref="S85:S86"/>
    <mergeCell ref="W85:W86"/>
    <mergeCell ref="L88:L90"/>
    <mergeCell ref="M88:M90"/>
    <mergeCell ref="N88:N90"/>
    <mergeCell ref="O88:O90"/>
    <mergeCell ref="P88:P89"/>
    <mergeCell ref="Q88:Q89"/>
    <mergeCell ref="R88:R89"/>
    <mergeCell ref="S88:S89"/>
    <mergeCell ref="W88:W89"/>
    <mergeCell ref="L91:L93"/>
    <mergeCell ref="M91:M93"/>
    <mergeCell ref="N91:N93"/>
    <mergeCell ref="O91:O93"/>
    <mergeCell ref="P91:P92"/>
    <mergeCell ref="Q91:Q92"/>
    <mergeCell ref="R91:R92"/>
    <mergeCell ref="S91:S92"/>
    <mergeCell ref="W91:W92"/>
    <mergeCell ref="L94:L96"/>
    <mergeCell ref="M94:M96"/>
    <mergeCell ref="N94:N96"/>
    <mergeCell ref="O94:O96"/>
    <mergeCell ref="P94:P95"/>
    <mergeCell ref="Q94:Q95"/>
    <mergeCell ref="R94:R95"/>
    <mergeCell ref="S94:S95"/>
    <mergeCell ref="W94:W95"/>
    <mergeCell ref="L97:L99"/>
    <mergeCell ref="M97:M99"/>
    <mergeCell ref="N97:N99"/>
    <mergeCell ref="O97:O99"/>
    <mergeCell ref="P97:P98"/>
    <mergeCell ref="Q97:Q98"/>
    <mergeCell ref="R97:R98"/>
    <mergeCell ref="S97:S98"/>
    <mergeCell ref="W97:W98"/>
    <mergeCell ref="L100:L102"/>
    <mergeCell ref="M100:M102"/>
    <mergeCell ref="N100:N102"/>
    <mergeCell ref="O100:O102"/>
    <mergeCell ref="P100:P101"/>
    <mergeCell ref="Q100:Q101"/>
    <mergeCell ref="R100:R101"/>
    <mergeCell ref="S100:S101"/>
    <mergeCell ref="W100:W101"/>
    <mergeCell ref="L103:L105"/>
    <mergeCell ref="M103:M105"/>
    <mergeCell ref="N103:N105"/>
    <mergeCell ref="O103:O105"/>
    <mergeCell ref="P103:P104"/>
    <mergeCell ref="Q103:Q104"/>
    <mergeCell ref="R103:R104"/>
    <mergeCell ref="S103:S104"/>
    <mergeCell ref="W103:W104"/>
    <mergeCell ref="L106:L108"/>
    <mergeCell ref="M106:M108"/>
    <mergeCell ref="N106:N108"/>
    <mergeCell ref="O106:O108"/>
    <mergeCell ref="P106:P107"/>
    <mergeCell ref="Q106:Q107"/>
    <mergeCell ref="R106:R107"/>
    <mergeCell ref="S106:S107"/>
    <mergeCell ref="W106:W107"/>
    <mergeCell ref="L109:L111"/>
    <mergeCell ref="M109:M111"/>
    <mergeCell ref="N109:N111"/>
    <mergeCell ref="O109:O111"/>
    <mergeCell ref="P109:P110"/>
    <mergeCell ref="Q109:Q110"/>
    <mergeCell ref="R109:R110"/>
    <mergeCell ref="S109:S110"/>
    <mergeCell ref="W109:W110"/>
    <mergeCell ref="L112:L114"/>
    <mergeCell ref="M112:M114"/>
    <mergeCell ref="N112:N114"/>
    <mergeCell ref="O112:O114"/>
    <mergeCell ref="P112:P113"/>
    <mergeCell ref="Q112:Q113"/>
    <mergeCell ref="R112:R113"/>
    <mergeCell ref="S112:S113"/>
    <mergeCell ref="W112:W113"/>
    <mergeCell ref="L115:L117"/>
    <mergeCell ref="M115:M117"/>
    <mergeCell ref="N115:N117"/>
    <mergeCell ref="O115:O117"/>
    <mergeCell ref="P115:P116"/>
    <mergeCell ref="Q115:Q116"/>
    <mergeCell ref="R115:R116"/>
    <mergeCell ref="S115:S116"/>
    <mergeCell ref="W115:W116"/>
    <mergeCell ref="L118:L120"/>
    <mergeCell ref="M118:M120"/>
    <mergeCell ref="N118:N120"/>
    <mergeCell ref="O118:O120"/>
    <mergeCell ref="P118:P119"/>
    <mergeCell ref="Q118:Q119"/>
    <mergeCell ref="R118:R119"/>
    <mergeCell ref="S118:S119"/>
    <mergeCell ref="W118:W119"/>
    <mergeCell ref="L121:L123"/>
    <mergeCell ref="M121:M123"/>
    <mergeCell ref="N121:N123"/>
    <mergeCell ref="O121:O123"/>
    <mergeCell ref="P121:P122"/>
    <mergeCell ref="Q121:Q122"/>
    <mergeCell ref="R121:R122"/>
    <mergeCell ref="S121:S122"/>
    <mergeCell ref="W121:W122"/>
    <mergeCell ref="L124:L126"/>
    <mergeCell ref="M124:M126"/>
    <mergeCell ref="N124:N126"/>
    <mergeCell ref="O124:O126"/>
    <mergeCell ref="P124:P125"/>
    <mergeCell ref="Q124:Q125"/>
    <mergeCell ref="R124:R125"/>
    <mergeCell ref="S124:S125"/>
    <mergeCell ref="W124:W125"/>
    <mergeCell ref="L127:L129"/>
    <mergeCell ref="M127:M129"/>
    <mergeCell ref="N127:N129"/>
    <mergeCell ref="O127:O129"/>
    <mergeCell ref="P127:P128"/>
    <mergeCell ref="Q127:Q128"/>
    <mergeCell ref="R127:R128"/>
    <mergeCell ref="S127:S128"/>
    <mergeCell ref="W127:W128"/>
    <mergeCell ref="L130:L132"/>
    <mergeCell ref="M130:M132"/>
    <mergeCell ref="N130:N132"/>
    <mergeCell ref="O130:O132"/>
    <mergeCell ref="P130:P131"/>
    <mergeCell ref="Q130:Q131"/>
    <mergeCell ref="R130:R131"/>
    <mergeCell ref="S130:S131"/>
    <mergeCell ref="W130:W131"/>
    <mergeCell ref="L133:L135"/>
    <mergeCell ref="M133:M135"/>
    <mergeCell ref="N133:N135"/>
    <mergeCell ref="O133:O135"/>
    <mergeCell ref="P133:P134"/>
    <mergeCell ref="Q133:Q134"/>
    <mergeCell ref="R133:R134"/>
    <mergeCell ref="S133:S134"/>
    <mergeCell ref="W133:W134"/>
    <mergeCell ref="L136:L138"/>
    <mergeCell ref="M136:M138"/>
    <mergeCell ref="N136:N138"/>
    <mergeCell ref="O136:O138"/>
    <mergeCell ref="P136:P137"/>
    <mergeCell ref="Q136:Q137"/>
    <mergeCell ref="R136:R137"/>
    <mergeCell ref="S136:S137"/>
    <mergeCell ref="W136:W137"/>
    <mergeCell ref="L139:L141"/>
    <mergeCell ref="M139:M141"/>
    <mergeCell ref="N139:N141"/>
    <mergeCell ref="O139:O141"/>
    <mergeCell ref="P139:P140"/>
    <mergeCell ref="Q139:Q140"/>
    <mergeCell ref="R139:R140"/>
    <mergeCell ref="S139:S140"/>
    <mergeCell ref="W139:W140"/>
  </mergeCells>
  <dataValidations count="37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1"/>
    <dataValidation allowBlank="1" showInputMessage="1" showErrorMessage="1" prompt="Выберите виды деятельности, выполнив двойной щелчок левой кнопки мыши по ячейке." sqref="G141"/>
    <dataValidation allowBlank="1" showInputMessage="1" showErrorMessage="1" prompt="Для выбора выполните двойной щелчок левой клавиши мыши по соответствующей ячейке." sqref="F141"/>
    <dataValidation allowBlank="1" showInputMessage="1" showErrorMessage="1" prompt="Для выбора выполните двойной щелчок левой клавиши мыши по соответствующей ячейке." sqref="S140"/>
    <dataValidation type="textLength" operator="lessThanOrEqual" allowBlank="1" showInputMessage="1" showErrorMessage="1" errorTitle="Ошибка" error="Допускается ввод не более 900 символов!" sqref="R14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0"/>
    <dataValidation type="textLength" operator="lessThanOrEqual" allowBlank="1" showInputMessage="1" showErrorMessage="1" errorTitle="Ошибка" error="Допускается ввод не более 900 символов!" sqref="J140">
      <formula1>900</formula1>
    </dataValidation>
    <dataValidation allowBlank="1" showInputMessage="1" showErrorMessage="1" prompt="Выберите виды деятельности, выполнив двойной щелчок левой кнопки мыши по ячейке." sqref="G140"/>
    <dataValidation allowBlank="1" showInputMessage="1" showErrorMessage="1" prompt="Для выбора выполните двойной щелчок левой клавиши мыши по соответствующей ячейке." sqref="F140"/>
    <dataValidation type="textLength" operator="lessThanOrEqual" allowBlank="1" showInputMessage="1" showErrorMessage="1" errorTitle="Ошибка" error="Допускается ввод не более 900 символов!" sqref="W139">
      <formula1>900</formula1>
    </dataValidation>
    <dataValidation type="textLength" operator="lessThanOrEqual" allowBlank="1" showInputMessage="1" showErrorMessage="1" errorTitle="Ошибка" error="Допускается ввод не более 900 символов!" sqref="V139">
      <formula1>900</formula1>
    </dataValidation>
    <dataValidation allowBlank="1" showInputMessage="1" showErrorMessage="1" prompt="Для выбора выполните двойной щелчок левой клавиши мыши по соответствующей ячейке." sqref="S139"/>
    <dataValidation type="textLength" operator="lessThanOrEqual" allowBlank="1" showInputMessage="1" showErrorMessage="1" errorTitle="Ошибка" error="Допускается ввод не более 900 символов!" sqref="R139">
      <formula1>900</formula1>
    </dataValidation>
    <dataValidation allowBlank="1" showInputMessage="1" showErrorMessage="1" prompt="Для выбора выполните двойной щелчок левой клавиши мыши по соответствующей ячейке." sqref="O13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9"/>
    <dataValidation type="textLength" operator="lessThanOrEqual" allowBlank="1" showInputMessage="1" showErrorMessage="1" errorTitle="Ошибка" error="Допускается ввод не более 900 символов!" sqref="J139">
      <formula1>900</formula1>
    </dataValidation>
    <dataValidation allowBlank="1" showInputMessage="1" showErrorMessage="1" prompt="Выберите виды деятельности, выполнив двойной щелчок левой кнопки мыши по ячейке." sqref="G139"/>
    <dataValidation allowBlank="1" showInputMessage="1" showErrorMessage="1" prompt="Для выбора выполните двойной щелчок левой клавиши мыши по соответствующей ячейке." sqref="F13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8"/>
    <dataValidation allowBlank="1" showInputMessage="1" showErrorMessage="1" prompt="Выберите виды деятельности, выполнив двойной щелчок левой кнопки мыши по ячейке." sqref="G138"/>
    <dataValidation allowBlank="1" showInputMessage="1" showErrorMessage="1" prompt="Для выбора выполните двойной щелчок левой клавиши мыши по соответствующей ячейке." sqref="F138"/>
    <dataValidation allowBlank="1" showInputMessage="1" showErrorMessage="1" prompt="Для выбора выполните двойной щелчок левой клавиши мыши по соответствующей ячейке." sqref="S137"/>
    <dataValidation type="textLength" operator="lessThanOrEqual" allowBlank="1" showInputMessage="1" showErrorMessage="1" errorTitle="Ошибка" error="Допускается ввод не более 900 символов!" sqref="R137">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7"/>
    <dataValidation type="textLength" operator="lessThanOrEqual" allowBlank="1" showInputMessage="1" showErrorMessage="1" errorTitle="Ошибка" error="Допускается ввод не более 900 символов!" sqref="J137">
      <formula1>900</formula1>
    </dataValidation>
    <dataValidation allowBlank="1" showInputMessage="1" showErrorMessage="1" prompt="Выберите виды деятельности, выполнив двойной щелчок левой кнопки мыши по ячейке." sqref="G137"/>
    <dataValidation allowBlank="1" showInputMessage="1" showErrorMessage="1" prompt="Для выбора выполните двойной щелчок левой клавиши мыши по соответствующей ячейке." sqref="F137"/>
    <dataValidation type="textLength" operator="lessThanOrEqual" allowBlank="1" showInputMessage="1" showErrorMessage="1" errorTitle="Ошибка" error="Допускается ввод не более 900 символов!" sqref="W136">
      <formula1>900</formula1>
    </dataValidation>
    <dataValidation type="textLength" operator="lessThanOrEqual" allowBlank="1" showInputMessage="1" showErrorMessage="1" errorTitle="Ошибка" error="Допускается ввод не более 900 символов!" sqref="V136">
      <formula1>900</formula1>
    </dataValidation>
    <dataValidation allowBlank="1" showInputMessage="1" showErrorMessage="1" prompt="Для выбора выполните двойной щелчок левой клавиши мыши по соответствующей ячейке." sqref="S136"/>
    <dataValidation type="textLength" operator="lessThanOrEqual" allowBlank="1" showInputMessage="1" showErrorMessage="1" errorTitle="Ошибка" error="Допускается ввод не более 900 символов!" sqref="R136">
      <formula1>900</formula1>
    </dataValidation>
    <dataValidation allowBlank="1" showInputMessage="1" showErrorMessage="1" prompt="Для выбора выполните двойной щелчок левой клавиши мыши по соответствующей ячейке." sqref="O13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6"/>
    <dataValidation type="textLength" operator="lessThanOrEqual" allowBlank="1" showInputMessage="1" showErrorMessage="1" errorTitle="Ошибка" error="Допускается ввод не более 900 символов!" sqref="J136">
      <formula1>900</formula1>
    </dataValidation>
    <dataValidation allowBlank="1" showInputMessage="1" showErrorMessage="1" prompt="Выберите виды деятельности, выполнив двойной щелчок левой кнопки мыши по ячейке." sqref="G136"/>
    <dataValidation allowBlank="1" showInputMessage="1" showErrorMessage="1" prompt="Для выбора выполните двойной щелчок левой клавиши мыши по соответствующей ячейке." sqref="F13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5"/>
    <dataValidation allowBlank="1" showInputMessage="1" showErrorMessage="1" prompt="Выберите виды деятельности, выполнив двойной щелчок левой кнопки мыши по ячейке." sqref="G135"/>
    <dataValidation allowBlank="1" showInputMessage="1" showErrorMessage="1" prompt="Для выбора выполните двойной щелчок левой клавиши мыши по соответствующей ячейке." sqref="F135"/>
    <dataValidation allowBlank="1" showInputMessage="1" showErrorMessage="1" prompt="Для выбора выполните двойной щелчок левой клавиши мыши по соответствующей ячейке." sqref="S134"/>
    <dataValidation type="textLength" operator="lessThanOrEqual" allowBlank="1" showInputMessage="1" showErrorMessage="1" errorTitle="Ошибка" error="Допускается ввод не более 900 символов!" sqref="R134">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4"/>
    <dataValidation type="textLength" operator="lessThanOrEqual" allowBlank="1" showInputMessage="1" showErrorMessage="1" errorTitle="Ошибка" error="Допускается ввод не более 900 символов!" sqref="J134">
      <formula1>900</formula1>
    </dataValidation>
    <dataValidation allowBlank="1" showInputMessage="1" showErrorMessage="1" prompt="Выберите виды деятельности, выполнив двойной щелчок левой кнопки мыши по ячейке." sqref="G134"/>
    <dataValidation allowBlank="1" showInputMessage="1" showErrorMessage="1" prompt="Для выбора выполните двойной щелчок левой клавиши мыши по соответствующей ячейке." sqref="F134"/>
    <dataValidation type="textLength" operator="lessThanOrEqual" allowBlank="1" showInputMessage="1" showErrorMessage="1" errorTitle="Ошибка" error="Допускается ввод не более 900 символов!" sqref="W133">
      <formula1>900</formula1>
    </dataValidation>
    <dataValidation type="textLength" operator="lessThanOrEqual" allowBlank="1" showInputMessage="1" showErrorMessage="1" errorTitle="Ошибка" error="Допускается ввод не более 900 символов!" sqref="V133">
      <formula1>900</formula1>
    </dataValidation>
    <dataValidation allowBlank="1" showInputMessage="1" showErrorMessage="1" prompt="Для выбора выполните двойной щелчок левой клавиши мыши по соответствующей ячейке." sqref="S133"/>
    <dataValidation type="textLength" operator="lessThanOrEqual" allowBlank="1" showInputMessage="1" showErrorMessage="1" errorTitle="Ошибка" error="Допускается ввод не более 900 символов!" sqref="R133">
      <formula1>900</formula1>
    </dataValidation>
    <dataValidation allowBlank="1" showInputMessage="1" showErrorMessage="1" prompt="Для выбора выполните двойной щелчок левой клавиши мыши по соответствующей ячейке." sqref="O13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3"/>
    <dataValidation type="textLength" operator="lessThanOrEqual" allowBlank="1" showInputMessage="1" showErrorMessage="1" errorTitle="Ошибка" error="Допускается ввод не более 900 символов!" sqref="J133">
      <formula1>900</formula1>
    </dataValidation>
    <dataValidation allowBlank="1" showInputMessage="1" showErrorMessage="1" prompt="Выберите виды деятельности, выполнив двойной щелчок левой кнопки мыши по ячейке." sqref="G133"/>
    <dataValidation allowBlank="1" showInputMessage="1" showErrorMessage="1" prompt="Для выбора выполните двойной щелчок левой клавиши мыши по соответствующей ячейке." sqref="F13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2"/>
    <dataValidation allowBlank="1" showInputMessage="1" showErrorMessage="1" prompt="Выберите виды деятельности, выполнив двойной щелчок левой кнопки мыши по ячейке." sqref="G132"/>
    <dataValidation allowBlank="1" showInputMessage="1" showErrorMessage="1" prompt="Для выбора выполните двойной щелчок левой клавиши мыши по соответствующей ячейке." sqref="F132"/>
    <dataValidation allowBlank="1" showInputMessage="1" showErrorMessage="1" prompt="Для выбора выполните двойной щелчок левой клавиши мыши по соответствующей ячейке." sqref="S131"/>
    <dataValidation type="textLength" operator="lessThanOrEqual" allowBlank="1" showInputMessage="1" showErrorMessage="1" errorTitle="Ошибка" error="Допускается ввод не более 900 символов!" sqref="R131">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1"/>
    <dataValidation type="textLength" operator="lessThanOrEqual" allowBlank="1" showInputMessage="1" showErrorMessage="1" errorTitle="Ошибка" error="Допускается ввод не более 900 символов!" sqref="J131">
      <formula1>900</formula1>
    </dataValidation>
    <dataValidation allowBlank="1" showInputMessage="1" showErrorMessage="1" prompt="Выберите виды деятельности, выполнив двойной щелчок левой кнопки мыши по ячейке." sqref="G131"/>
    <dataValidation allowBlank="1" showInputMessage="1" showErrorMessage="1" prompt="Для выбора выполните двойной щелчок левой клавиши мыши по соответствующей ячейке." sqref="F131"/>
    <dataValidation type="textLength" operator="lessThanOrEqual" allowBlank="1" showInputMessage="1" showErrorMessage="1" errorTitle="Ошибка" error="Допускается ввод не более 900 символов!" sqref="W130">
      <formula1>900</formula1>
    </dataValidation>
    <dataValidation type="textLength" operator="lessThanOrEqual" allowBlank="1" showInputMessage="1" showErrorMessage="1" errorTitle="Ошибка" error="Допускается ввод не более 900 символов!" sqref="V130">
      <formula1>900</formula1>
    </dataValidation>
    <dataValidation allowBlank="1" showInputMessage="1" showErrorMessage="1" prompt="Для выбора выполните двойной щелчок левой клавиши мыши по соответствующей ячейке." sqref="S130"/>
    <dataValidation type="textLength" operator="lessThanOrEqual" allowBlank="1" showInputMessage="1" showErrorMessage="1" errorTitle="Ошибка" error="Допускается ввод не более 900 символов!" sqref="R130">
      <formula1>900</formula1>
    </dataValidation>
    <dataValidation allowBlank="1" showInputMessage="1" showErrorMessage="1" prompt="Для выбора выполните двойной щелчок левой клавиши мыши по соответствующей ячейке." sqref="O13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30"/>
    <dataValidation type="textLength" operator="lessThanOrEqual" allowBlank="1" showInputMessage="1" showErrorMessage="1" errorTitle="Ошибка" error="Допускается ввод не более 900 символов!" sqref="J130">
      <formula1>900</formula1>
    </dataValidation>
    <dataValidation allowBlank="1" showInputMessage="1" showErrorMessage="1" prompt="Выберите виды деятельности, выполнив двойной щелчок левой кнопки мыши по ячейке." sqref="G130"/>
    <dataValidation allowBlank="1" showInputMessage="1" showErrorMessage="1" prompt="Для выбора выполните двойной щелчок левой клавиши мыши по соответствующей ячейке." sqref="F13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9"/>
    <dataValidation allowBlank="1" showInputMessage="1" showErrorMessage="1" prompt="Выберите виды деятельности, выполнив двойной щелчок левой кнопки мыши по ячейке." sqref="G129"/>
    <dataValidation allowBlank="1" showInputMessage="1" showErrorMessage="1" prompt="Для выбора выполните двойной щелчок левой клавиши мыши по соответствующей ячейке." sqref="F129"/>
    <dataValidation allowBlank="1" showInputMessage="1" showErrorMessage="1" prompt="Для выбора выполните двойной щелчок левой клавиши мыши по соответствующей ячейке." sqref="S128"/>
    <dataValidation type="textLength" operator="lessThanOrEqual" allowBlank="1" showInputMessage="1" showErrorMessage="1" errorTitle="Ошибка" error="Допускается ввод не более 900 символов!" sqref="R128">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8"/>
    <dataValidation type="textLength" operator="lessThanOrEqual" allowBlank="1" showInputMessage="1" showErrorMessage="1" errorTitle="Ошибка" error="Допускается ввод не более 900 символов!" sqref="J128">
      <formula1>900</formula1>
    </dataValidation>
    <dataValidation allowBlank="1" showInputMessage="1" showErrorMessage="1" prompt="Выберите виды деятельности, выполнив двойной щелчок левой кнопки мыши по ячейке." sqref="G128"/>
    <dataValidation allowBlank="1" showInputMessage="1" showErrorMessage="1" prompt="Для выбора выполните двойной щелчок левой клавиши мыши по соответствующей ячейке." sqref="F128"/>
    <dataValidation type="textLength" operator="lessThanOrEqual" allowBlank="1" showInputMessage="1" showErrorMessage="1" errorTitle="Ошибка" error="Допускается ввод не более 900 символов!" sqref="W127">
      <formula1>900</formula1>
    </dataValidation>
    <dataValidation type="textLength" operator="lessThanOrEqual" allowBlank="1" showInputMessage="1" showErrorMessage="1" errorTitle="Ошибка" error="Допускается ввод не более 900 символов!" sqref="V127">
      <formula1>900</formula1>
    </dataValidation>
    <dataValidation allowBlank="1" showInputMessage="1" showErrorMessage="1" prompt="Для выбора выполните двойной щелчок левой клавиши мыши по соответствующей ячейке." sqref="S127"/>
    <dataValidation type="textLength" operator="lessThanOrEqual" allowBlank="1" showInputMessage="1" showErrorMessage="1" errorTitle="Ошибка" error="Допускается ввод не более 900 символов!" sqref="R127">
      <formula1>900</formula1>
    </dataValidation>
    <dataValidation allowBlank="1" showInputMessage="1" showErrorMessage="1" prompt="Для выбора выполните двойной щелчок левой клавиши мыши по соответствующей ячейке." sqref="O12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7"/>
    <dataValidation type="textLength" operator="lessThanOrEqual" allowBlank="1" showInputMessage="1" showErrorMessage="1" errorTitle="Ошибка" error="Допускается ввод не более 900 символов!" sqref="J127">
      <formula1>900</formula1>
    </dataValidation>
    <dataValidation allowBlank="1" showInputMessage="1" showErrorMessage="1" prompt="Выберите виды деятельности, выполнив двойной щелчок левой кнопки мыши по ячейке." sqref="G127"/>
    <dataValidation allowBlank="1" showInputMessage="1" showErrorMessage="1" prompt="Для выбора выполните двойной щелчок левой клавиши мыши по соответствующей ячейке." sqref="F12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6"/>
    <dataValidation allowBlank="1" showInputMessage="1" showErrorMessage="1" prompt="Выберите виды деятельности, выполнив двойной щелчок левой кнопки мыши по ячейке." sqref="G126"/>
    <dataValidation allowBlank="1" showInputMessage="1" showErrorMessage="1" prompt="Для выбора выполните двойной щелчок левой клавиши мыши по соответствующей ячейке." sqref="F126"/>
    <dataValidation allowBlank="1" showInputMessage="1" showErrorMessage="1" prompt="Для выбора выполните двойной щелчок левой клавиши мыши по соответствующей ячейке." sqref="S125"/>
    <dataValidation type="textLength" operator="lessThanOrEqual" allowBlank="1" showInputMessage="1" showErrorMessage="1" errorTitle="Ошибка" error="Допускается ввод не более 900 символов!" sqref="R125">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5"/>
    <dataValidation type="textLength" operator="lessThanOrEqual" allowBlank="1" showInputMessage="1" showErrorMessage="1" errorTitle="Ошибка" error="Допускается ввод не более 900 символов!" sqref="J125">
      <formula1>900</formula1>
    </dataValidation>
    <dataValidation allowBlank="1" showInputMessage="1" showErrorMessage="1" prompt="Выберите виды деятельности, выполнив двойной щелчок левой кнопки мыши по ячейке." sqref="G125"/>
    <dataValidation allowBlank="1" showInputMessage="1" showErrorMessage="1" prompt="Для выбора выполните двойной щелчок левой клавиши мыши по соответствующей ячейке." sqref="F125"/>
    <dataValidation type="textLength" operator="lessThanOrEqual" allowBlank="1" showInputMessage="1" showErrorMessage="1" errorTitle="Ошибка" error="Допускается ввод не более 900 символов!" sqref="W124">
      <formula1>900</formula1>
    </dataValidation>
    <dataValidation type="textLength" operator="lessThanOrEqual" allowBlank="1" showInputMessage="1" showErrorMessage="1" errorTitle="Ошибка" error="Допускается ввод не более 900 символов!" sqref="V124">
      <formula1>900</formula1>
    </dataValidation>
    <dataValidation allowBlank="1" showInputMessage="1" showErrorMessage="1" prompt="Для выбора выполните двойной щелчок левой клавиши мыши по соответствующей ячейке." sqref="S124"/>
    <dataValidation type="textLength" operator="lessThanOrEqual" allowBlank="1" showInputMessage="1" showErrorMessage="1" errorTitle="Ошибка" error="Допускается ввод не более 900 символов!" sqref="R124">
      <formula1>900</formula1>
    </dataValidation>
    <dataValidation allowBlank="1" showInputMessage="1" showErrorMessage="1" prompt="Для выбора выполните двойной щелчок левой клавиши мыши по соответствующей ячейке." sqref="O12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4"/>
    <dataValidation type="textLength" operator="lessThanOrEqual" allowBlank="1" showInputMessage="1" showErrorMessage="1" errorTitle="Ошибка" error="Допускается ввод не более 900 символов!" sqref="J124">
      <formula1>900</formula1>
    </dataValidation>
    <dataValidation allowBlank="1" showInputMessage="1" showErrorMessage="1" prompt="Выберите виды деятельности, выполнив двойной щелчок левой кнопки мыши по ячейке." sqref="G124"/>
    <dataValidation allowBlank="1" showInputMessage="1" showErrorMessage="1" prompt="Для выбора выполните двойной щелчок левой клавиши мыши по соответствующей ячейке." sqref="F12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3"/>
    <dataValidation allowBlank="1" showInputMessage="1" showErrorMessage="1" prompt="Выберите виды деятельности, выполнив двойной щелчок левой кнопки мыши по ячейке." sqref="G123"/>
    <dataValidation allowBlank="1" showInputMessage="1" showErrorMessage="1" prompt="Для выбора выполните двойной щелчок левой клавиши мыши по соответствующей ячейке." sqref="F123"/>
    <dataValidation allowBlank="1" showInputMessage="1" showErrorMessage="1" prompt="Для выбора выполните двойной щелчок левой клавиши мыши по соответствующей ячейке." sqref="S122"/>
    <dataValidation type="textLength" operator="lessThanOrEqual" allowBlank="1" showInputMessage="1" showErrorMessage="1" errorTitle="Ошибка" error="Допускается ввод не более 900 символов!" sqref="R122">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2"/>
    <dataValidation type="textLength" operator="lessThanOrEqual" allowBlank="1" showInputMessage="1" showErrorMessage="1" errorTitle="Ошибка" error="Допускается ввод не более 900 символов!" sqref="J122">
      <formula1>900</formula1>
    </dataValidation>
    <dataValidation allowBlank="1" showInputMessage="1" showErrorMessage="1" prompt="Выберите виды деятельности, выполнив двойной щелчок левой кнопки мыши по ячейке." sqref="G122"/>
    <dataValidation allowBlank="1" showInputMessage="1" showErrorMessage="1" prompt="Для выбора выполните двойной щелчок левой клавиши мыши по соответствующей ячейке." sqref="F122"/>
    <dataValidation type="textLength" operator="lessThanOrEqual" allowBlank="1" showInputMessage="1" showErrorMessage="1" errorTitle="Ошибка" error="Допускается ввод не более 900 символов!" sqref="W121">
      <formula1>900</formula1>
    </dataValidation>
    <dataValidation type="textLength" operator="lessThanOrEqual" allowBlank="1" showInputMessage="1" showErrorMessage="1" errorTitle="Ошибка" error="Допускается ввод не более 900 символов!" sqref="V121">
      <formula1>900</formula1>
    </dataValidation>
    <dataValidation allowBlank="1" showInputMessage="1" showErrorMessage="1" prompt="Для выбора выполните двойной щелчок левой клавиши мыши по соответствующей ячейке." sqref="S121"/>
    <dataValidation type="textLength" operator="lessThanOrEqual" allowBlank="1" showInputMessage="1" showErrorMessage="1" errorTitle="Ошибка" error="Допускается ввод не более 900 символов!" sqref="R121">
      <formula1>900</formula1>
    </dataValidation>
    <dataValidation allowBlank="1" showInputMessage="1" showErrorMessage="1" prompt="Для выбора выполните двойной щелчок левой клавиши мыши по соответствующей ячейке." sqref="O12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1"/>
    <dataValidation type="textLength" operator="lessThanOrEqual" allowBlank="1" showInputMessage="1" showErrorMessage="1" errorTitle="Ошибка" error="Допускается ввод не более 900 символов!" sqref="J121">
      <formula1>900</formula1>
    </dataValidation>
    <dataValidation allowBlank="1" showInputMessage="1" showErrorMessage="1" prompt="Выберите виды деятельности, выполнив двойной щелчок левой кнопки мыши по ячейке." sqref="G121"/>
    <dataValidation allowBlank="1" showInputMessage="1" showErrorMessage="1" prompt="Для выбора выполните двойной щелчок левой клавиши мыши по соответствующей ячейке." sqref="F12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20"/>
    <dataValidation allowBlank="1" showInputMessage="1" showErrorMessage="1" prompt="Выберите виды деятельности, выполнив двойной щелчок левой кнопки мыши по ячейке." sqref="G120"/>
    <dataValidation allowBlank="1" showInputMessage="1" showErrorMessage="1" prompt="Для выбора выполните двойной щелчок левой клавиши мыши по соответствующей ячейке." sqref="F120"/>
    <dataValidation allowBlank="1" showInputMessage="1" showErrorMessage="1" prompt="Для выбора выполните двойной щелчок левой клавиши мыши по соответствующей ячейке." sqref="S119"/>
    <dataValidation type="textLength" operator="lessThanOrEqual" allowBlank="1" showInputMessage="1" showErrorMessage="1" errorTitle="Ошибка" error="Допускается ввод не более 900 символов!" sqref="R11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9"/>
    <dataValidation type="textLength" operator="lessThanOrEqual" allowBlank="1" showInputMessage="1" showErrorMessage="1" errorTitle="Ошибка" error="Допускается ввод не более 900 символов!" sqref="J119">
      <formula1>900</formula1>
    </dataValidation>
    <dataValidation allowBlank="1" showInputMessage="1" showErrorMessage="1" prompt="Выберите виды деятельности, выполнив двойной щелчок левой кнопки мыши по ячейке." sqref="G119"/>
    <dataValidation allowBlank="1" showInputMessage="1" showErrorMessage="1" prompt="Для выбора выполните двойной щелчок левой клавиши мыши по соответствующей ячейке." sqref="F119"/>
    <dataValidation type="textLength" operator="lessThanOrEqual" allowBlank="1" showInputMessage="1" showErrorMessage="1" errorTitle="Ошибка" error="Допускается ввод не более 900 символов!" sqref="W118">
      <formula1>900</formula1>
    </dataValidation>
    <dataValidation type="textLength" operator="lessThanOrEqual" allowBlank="1" showInputMessage="1" showErrorMessage="1" errorTitle="Ошибка" error="Допускается ввод не более 900 символов!" sqref="V118">
      <formula1>900</formula1>
    </dataValidation>
    <dataValidation allowBlank="1" showInputMessage="1" showErrorMessage="1" prompt="Для выбора выполните двойной щелчок левой клавиши мыши по соответствующей ячейке." sqref="S118"/>
    <dataValidation type="textLength" operator="lessThanOrEqual" allowBlank="1" showInputMessage="1" showErrorMessage="1" errorTitle="Ошибка" error="Допускается ввод не более 900 символов!" sqref="R118">
      <formula1>900</formula1>
    </dataValidation>
    <dataValidation allowBlank="1" showInputMessage="1" showErrorMessage="1" prompt="Для выбора выполните двойной щелчок левой клавиши мыши по соответствующей ячейке." sqref="O1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8"/>
    <dataValidation type="textLength" operator="lessThanOrEqual" allowBlank="1" showInputMessage="1" showErrorMessage="1" errorTitle="Ошибка" error="Допускается ввод не более 900 символов!" sqref="J118">
      <formula1>900</formula1>
    </dataValidation>
    <dataValidation allowBlank="1" showInputMessage="1" showErrorMessage="1" prompt="Выберите виды деятельности, выполнив двойной щелчок левой кнопки мыши по ячейке." sqref="G118"/>
    <dataValidation allowBlank="1" showInputMessage="1" showErrorMessage="1" prompt="Для выбора выполните двойной щелчок левой клавиши мыши по соответствующей ячейке." sqref="F1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7"/>
    <dataValidation allowBlank="1" showInputMessage="1" showErrorMessage="1" prompt="Выберите виды деятельности, выполнив двойной щелчок левой кнопки мыши по ячейке." sqref="G117"/>
    <dataValidation allowBlank="1" showInputMessage="1" showErrorMessage="1" prompt="Для выбора выполните двойной щелчок левой клавиши мыши по соответствующей ячейке." sqref="F117"/>
    <dataValidation allowBlank="1" showInputMessage="1" showErrorMessage="1" prompt="Для выбора выполните двойной щелчок левой клавиши мыши по соответствующей ячейке." sqref="S116"/>
    <dataValidation type="textLength" operator="lessThanOrEqual" allowBlank="1" showInputMessage="1" showErrorMessage="1" errorTitle="Ошибка" error="Допускается ввод не более 900 символов!" sqref="R116">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6"/>
    <dataValidation type="textLength" operator="lessThanOrEqual" allowBlank="1" showInputMessage="1" showErrorMessage="1" errorTitle="Ошибка" error="Допускается ввод не более 900 символов!" sqref="J116">
      <formula1>900</formula1>
    </dataValidation>
    <dataValidation allowBlank="1" showInputMessage="1" showErrorMessage="1" prompt="Выберите виды деятельности, выполнив двойной щелчок левой кнопки мыши по ячейке." sqref="G116"/>
    <dataValidation allowBlank="1" showInputMessage="1" showErrorMessage="1" prompt="Для выбора выполните двойной щелчок левой клавиши мыши по соответствующей ячейке." sqref="F116"/>
    <dataValidation type="textLength" operator="lessThanOrEqual" allowBlank="1" showInputMessage="1" showErrorMessage="1" errorTitle="Ошибка" error="Допускается ввод не более 900 символов!" sqref="W115">
      <formula1>900</formula1>
    </dataValidation>
    <dataValidation type="textLength" operator="lessThanOrEqual" allowBlank="1" showInputMessage="1" showErrorMessage="1" errorTitle="Ошибка" error="Допускается ввод не более 900 символов!" sqref="V115">
      <formula1>900</formula1>
    </dataValidation>
    <dataValidation allowBlank="1" showInputMessage="1" showErrorMessage="1" prompt="Для выбора выполните двойной щелчок левой клавиши мыши по соответствующей ячейке." sqref="S115"/>
    <dataValidation type="textLength" operator="lessThanOrEqual" allowBlank="1" showInputMessage="1" showErrorMessage="1" errorTitle="Ошибка" error="Допускается ввод не более 900 символов!" sqref="R115">
      <formula1>900</formula1>
    </dataValidation>
    <dataValidation allowBlank="1" showInputMessage="1" showErrorMessage="1" prompt="Для выбора выполните двойной щелчок левой клавиши мыши по соответствующей ячейке." sqref="O11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5"/>
    <dataValidation type="textLength" operator="lessThanOrEqual" allowBlank="1" showInputMessage="1" showErrorMessage="1" errorTitle="Ошибка" error="Допускается ввод не более 900 символов!" sqref="J115">
      <formula1>900</formula1>
    </dataValidation>
    <dataValidation allowBlank="1" showInputMessage="1" showErrorMessage="1" prompt="Выберите виды деятельности, выполнив двойной щелчок левой кнопки мыши по ячейке." sqref="G115"/>
    <dataValidation allowBlank="1" showInputMessage="1" showErrorMessage="1" prompt="Для выбора выполните двойной щелчок левой клавиши мыши по соответствующей ячейке." sqref="F11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4"/>
    <dataValidation allowBlank="1" showInputMessage="1" showErrorMessage="1" prompt="Выберите виды деятельности, выполнив двойной щелчок левой кнопки мыши по ячейке." sqref="G114"/>
    <dataValidation allowBlank="1" showInputMessage="1" showErrorMessage="1" prompt="Для выбора выполните двойной щелчок левой клавиши мыши по соответствующей ячейке." sqref="F114"/>
    <dataValidation allowBlank="1" showInputMessage="1" showErrorMessage="1" prompt="Для выбора выполните двойной щелчок левой клавиши мыши по соответствующей ячейке." sqref="S113"/>
    <dataValidation type="textLength" operator="lessThanOrEqual" allowBlank="1" showInputMessage="1" showErrorMessage="1" errorTitle="Ошибка" error="Допускается ввод не более 900 символов!" sqref="R113">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3"/>
    <dataValidation type="textLength" operator="lessThanOrEqual" allowBlank="1" showInputMessage="1" showErrorMessage="1" errorTitle="Ошибка" error="Допускается ввод не более 900 символов!" sqref="J113">
      <formula1>900</formula1>
    </dataValidation>
    <dataValidation allowBlank="1" showInputMessage="1" showErrorMessage="1" prompt="Выберите виды деятельности, выполнив двойной щелчок левой кнопки мыши по ячейке." sqref="G113"/>
    <dataValidation allowBlank="1" showInputMessage="1" showErrorMessage="1" prompt="Для выбора выполните двойной щелчок левой клавиши мыши по соответствующей ячейке." sqref="F113"/>
    <dataValidation type="textLength" operator="lessThanOrEqual" allowBlank="1" showInputMessage="1" showErrorMessage="1" errorTitle="Ошибка" error="Допускается ввод не более 900 символов!" sqref="W112">
      <formula1>900</formula1>
    </dataValidation>
    <dataValidation type="textLength" operator="lessThanOrEqual" allowBlank="1" showInputMessage="1" showErrorMessage="1" errorTitle="Ошибка" error="Допускается ввод не более 900 символов!" sqref="V112">
      <formula1>900</formula1>
    </dataValidation>
    <dataValidation allowBlank="1" showInputMessage="1" showErrorMessage="1" prompt="Для выбора выполните двойной щелчок левой клавиши мыши по соответствующей ячейке." sqref="S112"/>
    <dataValidation type="textLength" operator="lessThanOrEqual" allowBlank="1" showInputMessage="1" showErrorMessage="1" errorTitle="Ошибка" error="Допускается ввод не более 900 символов!" sqref="R112">
      <formula1>900</formula1>
    </dataValidation>
    <dataValidation allowBlank="1" showInputMessage="1" showErrorMessage="1" prompt="Для выбора выполните двойной щелчок левой клавиши мыши по соответствующей ячейке." sqref="O11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2"/>
    <dataValidation type="textLength" operator="lessThanOrEqual" allowBlank="1" showInputMessage="1" showErrorMessage="1" errorTitle="Ошибка" error="Допускается ввод не более 900 символов!" sqref="J112">
      <formula1>900</formula1>
    </dataValidation>
    <dataValidation allowBlank="1" showInputMessage="1" showErrorMessage="1" prompt="Выберите виды деятельности, выполнив двойной щелчок левой кнопки мыши по ячейке." sqref="G112"/>
    <dataValidation allowBlank="1" showInputMessage="1" showErrorMessage="1" prompt="Для выбора выполните двойной щелчок левой клавиши мыши по соответствующей ячейке." sqref="F11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1"/>
    <dataValidation allowBlank="1" showInputMessage="1" showErrorMessage="1" prompt="Выберите виды деятельности, выполнив двойной щелчок левой кнопки мыши по ячейке." sqref="G111"/>
    <dataValidation allowBlank="1" showInputMessage="1" showErrorMessage="1" prompt="Для выбора выполните двойной щелчок левой клавиши мыши по соответствующей ячейке." sqref="F111"/>
    <dataValidation allowBlank="1" showInputMessage="1" showErrorMessage="1" prompt="Для выбора выполните двойной щелчок левой клавиши мыши по соответствующей ячейке." sqref="S110"/>
    <dataValidation type="textLength" operator="lessThanOrEqual" allowBlank="1" showInputMessage="1" showErrorMessage="1" errorTitle="Ошибка" error="Допускается ввод не более 900 символов!" sqref="R11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0"/>
    <dataValidation type="textLength" operator="lessThanOrEqual" allowBlank="1" showInputMessage="1" showErrorMessage="1" errorTitle="Ошибка" error="Допускается ввод не более 900 символов!" sqref="J110">
      <formula1>900</formula1>
    </dataValidation>
    <dataValidation allowBlank="1" showInputMessage="1" showErrorMessage="1" prompt="Выберите виды деятельности, выполнив двойной щелчок левой кнопки мыши по ячейке." sqref="G110"/>
    <dataValidation allowBlank="1" showInputMessage="1" showErrorMessage="1" prompt="Для выбора выполните двойной щелчок левой клавиши мыши по соответствующей ячейке." sqref="F110"/>
    <dataValidation type="textLength" operator="lessThanOrEqual" allowBlank="1" showInputMessage="1" showErrorMessage="1" errorTitle="Ошибка" error="Допускается ввод не более 900 символов!" sqref="W109">
      <formula1>900</formula1>
    </dataValidation>
    <dataValidation type="textLength" operator="lessThanOrEqual" allowBlank="1" showInputMessage="1" showErrorMessage="1" errorTitle="Ошибка" error="Допускается ввод не более 900 символов!" sqref="V109">
      <formula1>900</formula1>
    </dataValidation>
    <dataValidation allowBlank="1" showInputMessage="1" showErrorMessage="1" prompt="Для выбора выполните двойной щелчок левой клавиши мыши по соответствующей ячейке." sqref="S109"/>
    <dataValidation type="textLength" operator="lessThanOrEqual" allowBlank="1" showInputMessage="1" showErrorMessage="1" errorTitle="Ошибка" error="Допускается ввод не более 900 символов!" sqref="R109">
      <formula1>900</formula1>
    </dataValidation>
    <dataValidation allowBlank="1" showInputMessage="1" showErrorMessage="1" prompt="Для выбора выполните двойной щелчок левой клавиши мыши по соответствующей ячейке." sqref="O10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9"/>
    <dataValidation type="textLength" operator="lessThanOrEqual" allowBlank="1" showInputMessage="1" showErrorMessage="1" errorTitle="Ошибка" error="Допускается ввод не более 900 символов!" sqref="J109">
      <formula1>900</formula1>
    </dataValidation>
    <dataValidation allowBlank="1" showInputMessage="1" showErrorMessage="1" prompt="Выберите виды деятельности, выполнив двойной щелчок левой кнопки мыши по ячейке." sqref="G109"/>
    <dataValidation allowBlank="1" showInputMessage="1" showErrorMessage="1" prompt="Для выбора выполните двойной щелчок левой клавиши мыши по соответствующей ячейке." sqref="F10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8"/>
    <dataValidation allowBlank="1" showInputMessage="1" showErrorMessage="1" prompt="Выберите виды деятельности, выполнив двойной щелчок левой кнопки мыши по ячейке." sqref="G108"/>
    <dataValidation allowBlank="1" showInputMessage="1" showErrorMessage="1" prompt="Для выбора выполните двойной щелчок левой клавиши мыши по соответствующей ячейке." sqref="F108"/>
    <dataValidation allowBlank="1" showInputMessage="1" showErrorMessage="1" prompt="Для выбора выполните двойной щелчок левой клавиши мыши по соответствующей ячейке." sqref="S107"/>
    <dataValidation type="textLength" operator="lessThanOrEqual" allowBlank="1" showInputMessage="1" showErrorMessage="1" errorTitle="Ошибка" error="Допускается ввод не более 900 символов!" sqref="R107">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7"/>
    <dataValidation type="textLength" operator="lessThanOrEqual" allowBlank="1" showInputMessage="1" showErrorMessage="1" errorTitle="Ошибка" error="Допускается ввод не более 900 символов!" sqref="J107">
      <formula1>900</formula1>
    </dataValidation>
    <dataValidation allowBlank="1" showInputMessage="1" showErrorMessage="1" prompt="Выберите виды деятельности, выполнив двойной щелчок левой кнопки мыши по ячейке." sqref="G107"/>
    <dataValidation allowBlank="1" showInputMessage="1" showErrorMessage="1" prompt="Для выбора выполните двойной щелчок левой клавиши мыши по соответствующей ячейке." sqref="F107"/>
    <dataValidation type="textLength" operator="lessThanOrEqual" allowBlank="1" showInputMessage="1" showErrorMessage="1" errorTitle="Ошибка" error="Допускается ввод не более 900 символов!" sqref="W106">
      <formula1>900</formula1>
    </dataValidation>
    <dataValidation type="textLength" operator="lessThanOrEqual" allowBlank="1" showInputMessage="1" showErrorMessage="1" errorTitle="Ошибка" error="Допускается ввод не более 900 символов!" sqref="V106">
      <formula1>900</formula1>
    </dataValidation>
    <dataValidation allowBlank="1" showInputMessage="1" showErrorMessage="1" prompt="Для выбора выполните двойной щелчок левой клавиши мыши по соответствующей ячейке." sqref="S106"/>
    <dataValidation type="textLength" operator="lessThanOrEqual" allowBlank="1" showInputMessage="1" showErrorMessage="1" errorTitle="Ошибка" error="Допускается ввод не более 900 символов!" sqref="R106">
      <formula1>900</formula1>
    </dataValidation>
    <dataValidation allowBlank="1" showInputMessage="1" showErrorMessage="1" prompt="Для выбора выполните двойной щелчок левой клавиши мыши по соответствующей ячейке." sqref="O10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6"/>
    <dataValidation type="textLength" operator="lessThanOrEqual" allowBlank="1" showInputMessage="1" showErrorMessage="1" errorTitle="Ошибка" error="Допускается ввод не более 900 символов!" sqref="J106">
      <formula1>900</formula1>
    </dataValidation>
    <dataValidation allowBlank="1" showInputMessage="1" showErrorMessage="1" prompt="Выберите виды деятельности, выполнив двойной щелчок левой кнопки мыши по ячейке." sqref="G106"/>
    <dataValidation allowBlank="1" showInputMessage="1" showErrorMessage="1" prompt="Для выбора выполните двойной щелчок левой клавиши мыши по соответствующей ячейке." sqref="F10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5"/>
    <dataValidation allowBlank="1" showInputMessage="1" showErrorMessage="1" prompt="Выберите виды деятельности, выполнив двойной щелчок левой кнопки мыши по ячейке." sqref="G105"/>
    <dataValidation allowBlank="1" showInputMessage="1" showErrorMessage="1" prompt="Для выбора выполните двойной щелчок левой клавиши мыши по соответствующей ячейке." sqref="F105"/>
    <dataValidation allowBlank="1" showInputMessage="1" showErrorMessage="1" prompt="Для выбора выполните двойной щелчок левой клавиши мыши по соответствующей ячейке." sqref="S104"/>
    <dataValidation type="textLength" operator="lessThanOrEqual" allowBlank="1" showInputMessage="1" showErrorMessage="1" errorTitle="Ошибка" error="Допускается ввод не более 900 символов!" sqref="R104">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4"/>
    <dataValidation type="textLength" operator="lessThanOrEqual" allowBlank="1" showInputMessage="1" showErrorMessage="1" errorTitle="Ошибка" error="Допускается ввод не более 900 символов!" sqref="J104">
      <formula1>900</formula1>
    </dataValidation>
    <dataValidation allowBlank="1" showInputMessage="1" showErrorMessage="1" prompt="Выберите виды деятельности, выполнив двойной щелчок левой кнопки мыши по ячейке." sqref="G104"/>
    <dataValidation allowBlank="1" showInputMessage="1" showErrorMessage="1" prompt="Для выбора выполните двойной щелчок левой клавиши мыши по соответствующей ячейке." sqref="F104"/>
    <dataValidation type="textLength" operator="lessThanOrEqual" allowBlank="1" showInputMessage="1" showErrorMessage="1" errorTitle="Ошибка" error="Допускается ввод не более 900 символов!" sqref="W103">
      <formula1>900</formula1>
    </dataValidation>
    <dataValidation type="textLength" operator="lessThanOrEqual" allowBlank="1" showInputMessage="1" showErrorMessage="1" errorTitle="Ошибка" error="Допускается ввод не более 900 символов!" sqref="V103">
      <formula1>900</formula1>
    </dataValidation>
    <dataValidation allowBlank="1" showInputMessage="1" showErrorMessage="1" prompt="Для выбора выполните двойной щелчок левой клавиши мыши по соответствующей ячейке." sqref="S103"/>
    <dataValidation type="textLength" operator="lessThanOrEqual" allowBlank="1" showInputMessage="1" showErrorMessage="1" errorTitle="Ошибка" error="Допускается ввод не более 900 символов!" sqref="R103">
      <formula1>900</formula1>
    </dataValidation>
    <dataValidation allowBlank="1" showInputMessage="1" showErrorMessage="1" prompt="Для выбора выполните двойной щелчок левой клавиши мыши по соответствующей ячейке." sqref="O10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3"/>
    <dataValidation type="textLength" operator="lessThanOrEqual" allowBlank="1" showInputMessage="1" showErrorMessage="1" errorTitle="Ошибка" error="Допускается ввод не более 900 символов!" sqref="J103">
      <formula1>900</formula1>
    </dataValidation>
    <dataValidation allowBlank="1" showInputMessage="1" showErrorMessage="1" prompt="Выберите виды деятельности, выполнив двойной щелчок левой кнопки мыши по ячейке." sqref="G103"/>
    <dataValidation allowBlank="1" showInputMessage="1" showErrorMessage="1" prompt="Для выбора выполните двойной щелчок левой клавиши мыши по соответствующей ячейке." sqref="F10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2"/>
    <dataValidation allowBlank="1" showInputMessage="1" showErrorMessage="1" prompt="Выберите виды деятельности, выполнив двойной щелчок левой кнопки мыши по ячейке." sqref="G102"/>
    <dataValidation allowBlank="1" showInputMessage="1" showErrorMessage="1" prompt="Для выбора выполните двойной щелчок левой клавиши мыши по соответствующей ячейке." sqref="F102"/>
    <dataValidation allowBlank="1" showInputMessage="1" showErrorMessage="1" prompt="Для выбора выполните двойной щелчок левой клавиши мыши по соответствующей ячейке." sqref="S101"/>
    <dataValidation type="textLength" operator="lessThanOrEqual" allowBlank="1" showInputMessage="1" showErrorMessage="1" errorTitle="Ошибка" error="Допускается ввод не более 900 символов!" sqref="R101">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1"/>
    <dataValidation type="textLength" operator="lessThanOrEqual" allowBlank="1" showInputMessage="1" showErrorMessage="1" errorTitle="Ошибка" error="Допускается ввод не более 900 символов!" sqref="J101">
      <formula1>900</formula1>
    </dataValidation>
    <dataValidation allowBlank="1" showInputMessage="1" showErrorMessage="1" prompt="Выберите виды деятельности, выполнив двойной щелчок левой кнопки мыши по ячейке." sqref="G101"/>
    <dataValidation allowBlank="1" showInputMessage="1" showErrorMessage="1" prompt="Для выбора выполните двойной щелчок левой клавиши мыши по соответствующей ячейке." sqref="F101"/>
    <dataValidation type="textLength" operator="lessThanOrEqual" allowBlank="1" showInputMessage="1" showErrorMessage="1" errorTitle="Ошибка" error="Допускается ввод не более 900 символов!" sqref="W100">
      <formula1>900</formula1>
    </dataValidation>
    <dataValidation type="textLength" operator="lessThanOrEqual" allowBlank="1" showInputMessage="1" showErrorMessage="1" errorTitle="Ошибка" error="Допускается ввод не более 900 символов!" sqref="V100">
      <formula1>900</formula1>
    </dataValidation>
    <dataValidation allowBlank="1" showInputMessage="1" showErrorMessage="1" prompt="Для выбора выполните двойной щелчок левой клавиши мыши по соответствующей ячейке." sqref="S100"/>
    <dataValidation type="textLength" operator="lessThanOrEqual" allowBlank="1" showInputMessage="1" showErrorMessage="1" errorTitle="Ошибка" error="Допускается ввод не более 900 символов!" sqref="R100">
      <formula1>900</formula1>
    </dataValidation>
    <dataValidation allowBlank="1" showInputMessage="1" showErrorMessage="1" prompt="Для выбора выполните двойной щелчок левой клавиши мыши по соответствующей ячейке." sqref="O10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0"/>
    <dataValidation type="textLength" operator="lessThanOrEqual" allowBlank="1" showInputMessage="1" showErrorMessage="1" errorTitle="Ошибка" error="Допускается ввод не более 900 символов!" sqref="J100">
      <formula1>900</formula1>
    </dataValidation>
    <dataValidation allowBlank="1" showInputMessage="1" showErrorMessage="1" prompt="Выберите виды деятельности, выполнив двойной щелчок левой кнопки мыши по ячейке." sqref="G100"/>
    <dataValidation allowBlank="1" showInputMessage="1" showErrorMessage="1" prompt="Для выбора выполните двойной щелчок левой клавиши мыши по соответствующей ячейке." sqref="F100"/>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9"/>
    <dataValidation allowBlank="1" showInputMessage="1" showErrorMessage="1" prompt="Выберите виды деятельности, выполнив двойной щелчок левой кнопки мыши по ячейке." sqref="G99"/>
    <dataValidation allowBlank="1" showInputMessage="1" showErrorMessage="1" prompt="Для выбора выполните двойной щелчок левой клавиши мыши по соответствующей ячейке." sqref="F99"/>
    <dataValidation allowBlank="1" showInputMessage="1" showErrorMessage="1" prompt="Для выбора выполните двойной щелчок левой клавиши мыши по соответствующей ячейке." sqref="S98"/>
    <dataValidation type="textLength" operator="lessThanOrEqual" allowBlank="1" showInputMessage="1" showErrorMessage="1" errorTitle="Ошибка" error="Допускается ввод не более 900 символов!" sqref="R98">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8"/>
    <dataValidation type="textLength" operator="lessThanOrEqual" allowBlank="1" showInputMessage="1" showErrorMessage="1" errorTitle="Ошибка" error="Допускается ввод не более 900 символов!" sqref="J98">
      <formula1>900</formula1>
    </dataValidation>
    <dataValidation allowBlank="1" showInputMessage="1" showErrorMessage="1" prompt="Выберите виды деятельности, выполнив двойной щелчок левой кнопки мыши по ячейке." sqref="G98"/>
    <dataValidation allowBlank="1" showInputMessage="1" showErrorMessage="1" prompt="Для выбора выполните двойной щелчок левой клавиши мыши по соответствующей ячейке." sqref="F98"/>
    <dataValidation type="textLength" operator="lessThanOrEqual" allowBlank="1" showInputMessage="1" showErrorMessage="1" errorTitle="Ошибка" error="Допускается ввод не более 900 символов!" sqref="W97">
      <formula1>900</formula1>
    </dataValidation>
    <dataValidation type="textLength" operator="lessThanOrEqual" allowBlank="1" showInputMessage="1" showErrorMessage="1" errorTitle="Ошибка" error="Допускается ввод не более 900 символов!" sqref="V97">
      <formula1>900</formula1>
    </dataValidation>
    <dataValidation allowBlank="1" showInputMessage="1" showErrorMessage="1" prompt="Для выбора выполните двойной щелчок левой клавиши мыши по соответствующей ячейке." sqref="S97"/>
    <dataValidation type="textLength" operator="lessThanOrEqual" allowBlank="1" showInputMessage="1" showErrorMessage="1" errorTitle="Ошибка" error="Допускается ввод не более 900 символов!" sqref="R97">
      <formula1>900</formula1>
    </dataValidation>
    <dataValidation allowBlank="1" showInputMessage="1" showErrorMessage="1" prompt="Для выбора выполните двойной щелчок левой клавиши мыши по соответствующей ячейке." sqref="O9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7"/>
    <dataValidation type="textLength" operator="lessThanOrEqual" allowBlank="1" showInputMessage="1" showErrorMessage="1" errorTitle="Ошибка" error="Допускается ввод не более 900 символов!" sqref="J97">
      <formula1>900</formula1>
    </dataValidation>
    <dataValidation allowBlank="1" showInputMessage="1" showErrorMessage="1" prompt="Выберите виды деятельности, выполнив двойной щелчок левой кнопки мыши по ячейке." sqref="G97"/>
    <dataValidation allowBlank="1" showInputMessage="1" showErrorMessage="1" prompt="Для выбора выполните двойной щелчок левой клавиши мыши по соответствующей ячейке." sqref="F9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6"/>
    <dataValidation allowBlank="1" showInputMessage="1" showErrorMessage="1" prompt="Выберите виды деятельности, выполнив двойной щелчок левой кнопки мыши по ячейке." sqref="G96"/>
    <dataValidation allowBlank="1" showInputMessage="1" showErrorMessage="1" prompt="Для выбора выполните двойной щелчок левой клавиши мыши по соответствующей ячейке." sqref="F96"/>
    <dataValidation allowBlank="1" showInputMessage="1" showErrorMessage="1" prompt="Для выбора выполните двойной щелчок левой клавиши мыши по соответствующей ячейке." sqref="S95"/>
    <dataValidation type="textLength" operator="lessThanOrEqual" allowBlank="1" showInputMessage="1" showErrorMessage="1" errorTitle="Ошибка" error="Допускается ввод не более 900 символов!" sqref="R95">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5"/>
    <dataValidation type="textLength" operator="lessThanOrEqual" allowBlank="1" showInputMessage="1" showErrorMessage="1" errorTitle="Ошибка" error="Допускается ввод не более 900 символов!" sqref="J95">
      <formula1>900</formula1>
    </dataValidation>
    <dataValidation allowBlank="1" showInputMessage="1" showErrorMessage="1" prompt="Выберите виды деятельности, выполнив двойной щелчок левой кнопки мыши по ячейке." sqref="G95"/>
    <dataValidation allowBlank="1" showInputMessage="1" showErrorMessage="1" prompt="Для выбора выполните двойной щелчок левой клавиши мыши по соответствующей ячейке." sqref="F95"/>
    <dataValidation type="textLength" operator="lessThanOrEqual" allowBlank="1" showInputMessage="1" showErrorMessage="1" errorTitle="Ошибка" error="Допускается ввод не более 900 символов!" sqref="W94">
      <formula1>900</formula1>
    </dataValidation>
    <dataValidation type="textLength" operator="lessThanOrEqual" allowBlank="1" showInputMessage="1" showErrorMessage="1" errorTitle="Ошибка" error="Допускается ввод не более 900 символов!" sqref="V94">
      <formula1>900</formula1>
    </dataValidation>
    <dataValidation allowBlank="1" showInputMessage="1" showErrorMessage="1" prompt="Для выбора выполните двойной щелчок левой клавиши мыши по соответствующей ячейке." sqref="S94"/>
    <dataValidation type="textLength" operator="lessThanOrEqual" allowBlank="1" showInputMessage="1" showErrorMessage="1" errorTitle="Ошибка" error="Допускается ввод не более 900 символов!" sqref="R94">
      <formula1>900</formula1>
    </dataValidation>
    <dataValidation allowBlank="1" showInputMessage="1" showErrorMessage="1" prompt="Для выбора выполните двойной щелчок левой клавиши мыши по соответствующей ячейке." sqref="O9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4"/>
    <dataValidation type="textLength" operator="lessThanOrEqual" allowBlank="1" showInputMessage="1" showErrorMessage="1" errorTitle="Ошибка" error="Допускается ввод не более 900 символов!" sqref="J94">
      <formula1>900</formula1>
    </dataValidation>
    <dataValidation allowBlank="1" showInputMessage="1" showErrorMessage="1" prompt="Выберите виды деятельности, выполнив двойной щелчок левой кнопки мыши по ячейке." sqref="G94"/>
    <dataValidation allowBlank="1" showInputMessage="1" showErrorMessage="1" prompt="Для выбора выполните двойной щелчок левой клавиши мыши по соответствующей ячейке." sqref="F9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3"/>
    <dataValidation allowBlank="1" showInputMessage="1" showErrorMessage="1" prompt="Выберите виды деятельности, выполнив двойной щелчок левой кнопки мыши по ячейке." sqref="G93"/>
    <dataValidation allowBlank="1" showInputMessage="1" showErrorMessage="1" prompt="Для выбора выполните двойной щелчок левой клавиши мыши по соответствующей ячейке." sqref="F93"/>
    <dataValidation allowBlank="1" showInputMessage="1" showErrorMessage="1" prompt="Для выбора выполните двойной щелчок левой клавиши мыши по соответствующей ячейке." sqref="S92"/>
    <dataValidation type="textLength" operator="lessThanOrEqual" allowBlank="1" showInputMessage="1" showErrorMessage="1" errorTitle="Ошибка" error="Допускается ввод не более 900 символов!" sqref="R92">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2"/>
    <dataValidation type="textLength" operator="lessThanOrEqual" allowBlank="1" showInputMessage="1" showErrorMessage="1" errorTitle="Ошибка" error="Допускается ввод не более 900 символов!" sqref="J92">
      <formula1>900</formula1>
    </dataValidation>
    <dataValidation allowBlank="1" showInputMessage="1" showErrorMessage="1" prompt="Выберите виды деятельности, выполнив двойной щелчок левой кнопки мыши по ячейке." sqref="G92"/>
    <dataValidation allowBlank="1" showInputMessage="1" showErrorMessage="1" prompt="Для выбора выполните двойной щелчок левой клавиши мыши по соответствующей ячейке." sqref="F92"/>
    <dataValidation type="textLength" operator="lessThanOrEqual" allowBlank="1" showInputMessage="1" showErrorMessage="1" errorTitle="Ошибка" error="Допускается ввод не более 900 символов!" sqref="W91">
      <formula1>900</formula1>
    </dataValidation>
    <dataValidation type="textLength" operator="lessThanOrEqual" allowBlank="1" showInputMessage="1" showErrorMessage="1" errorTitle="Ошибка" error="Допускается ввод не более 900 символов!" sqref="V91">
      <formula1>900</formula1>
    </dataValidation>
    <dataValidation allowBlank="1" showInputMessage="1" showErrorMessage="1" prompt="Для выбора выполните двойной щелчок левой клавиши мыши по соответствующей ячейке." sqref="S91"/>
    <dataValidation type="textLength" operator="lessThanOrEqual" allowBlank="1" showInputMessage="1" showErrorMessage="1" errorTitle="Ошибка" error="Допускается ввод не более 900 символов!" sqref="R91">
      <formula1>900</formula1>
    </dataValidation>
    <dataValidation allowBlank="1" showInputMessage="1" showErrorMessage="1" prompt="Для выбора выполните двойной щелчок левой клавиши мыши по соответствующей ячейке." sqref="O9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1"/>
    <dataValidation type="textLength" operator="lessThanOrEqual" allowBlank="1" showInputMessage="1" showErrorMessage="1" errorTitle="Ошибка" error="Допускается ввод не более 900 символов!" sqref="J91">
      <formula1>900</formula1>
    </dataValidation>
    <dataValidation allowBlank="1" showInputMessage="1" showErrorMessage="1" prompt="Выберите виды деятельности, выполнив двойной щелчок левой кнопки мыши по ячейке." sqref="G91"/>
    <dataValidation allowBlank="1" showInputMessage="1" showErrorMessage="1" prompt="Для выбора выполните двойной щелчок левой клавиши мыши по соответствующей ячейке." sqref="F91"/>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0"/>
    <dataValidation allowBlank="1" showInputMessage="1" showErrorMessage="1" prompt="Выберите виды деятельности, выполнив двойной щелчок левой кнопки мыши по ячейке." sqref="G90"/>
    <dataValidation allowBlank="1" showInputMessage="1" showErrorMessage="1" prompt="Для выбора выполните двойной щелчок левой клавиши мыши по соответствующей ячейке." sqref="F90"/>
    <dataValidation allowBlank="1" showInputMessage="1" showErrorMessage="1" prompt="Для выбора выполните двойной щелчок левой клавиши мыши по соответствующей ячейке." sqref="S89"/>
    <dataValidation type="textLength" operator="lessThanOrEqual" allowBlank="1" showInputMessage="1" showErrorMessage="1" errorTitle="Ошибка" error="Допускается ввод не более 900 символов!" sqref="R89">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9"/>
    <dataValidation type="textLength" operator="lessThanOrEqual" allowBlank="1" showInputMessage="1" showErrorMessage="1" errorTitle="Ошибка" error="Допускается ввод не более 900 символов!" sqref="J89">
      <formula1>900</formula1>
    </dataValidation>
    <dataValidation allowBlank="1" showInputMessage="1" showErrorMessage="1" prompt="Выберите виды деятельности, выполнив двойной щелчок левой кнопки мыши по ячейке." sqref="G89"/>
    <dataValidation allowBlank="1" showInputMessage="1" showErrorMessage="1" prompt="Для выбора выполните двойной щелчок левой клавиши мыши по соответствующей ячейке." sqref="F89"/>
    <dataValidation type="textLength" operator="lessThanOrEqual" allowBlank="1" showInputMessage="1" showErrorMessage="1" errorTitle="Ошибка" error="Допускается ввод не более 900 символов!" sqref="W88">
      <formula1>900</formula1>
    </dataValidation>
    <dataValidation type="textLength" operator="lessThanOrEqual" allowBlank="1" showInputMessage="1" showErrorMessage="1" errorTitle="Ошибка" error="Допускается ввод не более 900 символов!" sqref="V88">
      <formula1>900</formula1>
    </dataValidation>
    <dataValidation allowBlank="1" showInputMessage="1" showErrorMessage="1" prompt="Для выбора выполните двойной щелчок левой клавиши мыши по соответствующей ячейке." sqref="S88"/>
    <dataValidation type="textLength" operator="lessThanOrEqual" allowBlank="1" showInputMessage="1" showErrorMessage="1" errorTitle="Ошибка" error="Допускается ввод не более 900 символов!" sqref="R88">
      <formula1>900</formula1>
    </dataValidation>
    <dataValidation allowBlank="1" showInputMessage="1" showErrorMessage="1" prompt="Для выбора выполните двойной щелчок левой клавиши мыши по соответствующей ячейке." sqref="O8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8"/>
    <dataValidation type="textLength" operator="lessThanOrEqual" allowBlank="1" showInputMessage="1" showErrorMessage="1" errorTitle="Ошибка" error="Допускается ввод не более 900 символов!" sqref="J88">
      <formula1>900</formula1>
    </dataValidation>
    <dataValidation allowBlank="1" showInputMessage="1" showErrorMessage="1" prompt="Выберите виды деятельности, выполнив двойной щелчок левой кнопки мыши по ячейке." sqref="G88"/>
    <dataValidation allowBlank="1" showInputMessage="1" showErrorMessage="1" prompt="Для выбора выполните двойной щелчок левой клавиши мыши по соответствующей ячейке." sqref="F8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7"/>
    <dataValidation allowBlank="1" showInputMessage="1" showErrorMessage="1" prompt="Выберите виды деятельности, выполнив двойной щелчок левой кнопки мыши по ячейке." sqref="G87"/>
    <dataValidation allowBlank="1" showInputMessage="1" showErrorMessage="1" prompt="Для выбора выполните двойной щелчок левой клавиши мыши по соответствующей ячейке." sqref="F87"/>
    <dataValidation allowBlank="1" showInputMessage="1" showErrorMessage="1" prompt="Для выбора выполните двойной щелчок левой клавиши мыши по соответствующей ячейке." sqref="S86"/>
    <dataValidation type="textLength" operator="lessThanOrEqual" allowBlank="1" showInputMessage="1" showErrorMessage="1" errorTitle="Ошибка" error="Допускается ввод не более 900 символов!" sqref="R86">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6"/>
    <dataValidation type="textLength" operator="lessThanOrEqual" allowBlank="1" showInputMessage="1" showErrorMessage="1" errorTitle="Ошибка" error="Допускается ввод не более 900 символов!" sqref="J86">
      <formula1>900</formula1>
    </dataValidation>
    <dataValidation allowBlank="1" showInputMessage="1" showErrorMessage="1" prompt="Выберите виды деятельности, выполнив двойной щелчок левой кнопки мыши по ячейке." sqref="G86"/>
    <dataValidation allowBlank="1" showInputMessage="1" showErrorMessage="1" prompt="Для выбора выполните двойной щелчок левой клавиши мыши по соответствующей ячейке." sqref="F86"/>
    <dataValidation type="textLength" operator="lessThanOrEqual" allowBlank="1" showInputMessage="1" showErrorMessage="1" errorTitle="Ошибка" error="Допускается ввод не более 900 символов!" sqref="W85">
      <formula1>900</formula1>
    </dataValidation>
    <dataValidation type="textLength" operator="lessThanOrEqual" allowBlank="1" showInputMessage="1" showErrorMessage="1" errorTitle="Ошибка" error="Допускается ввод не более 900 символов!" sqref="V85">
      <formula1>900</formula1>
    </dataValidation>
    <dataValidation allowBlank="1" showInputMessage="1" showErrorMessage="1" prompt="Для выбора выполните двойной щелчок левой клавиши мыши по соответствующей ячейке." sqref="S85"/>
    <dataValidation type="textLength" operator="lessThanOrEqual" allowBlank="1" showInputMessage="1" showErrorMessage="1" errorTitle="Ошибка" error="Допускается ввод не более 900 символов!" sqref="R85">
      <formula1>900</formula1>
    </dataValidation>
    <dataValidation allowBlank="1" showInputMessage="1" showErrorMessage="1" prompt="Для выбора выполните двойной щелчок левой клавиши мыши по соответствующей ячейке." sqref="O8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5"/>
    <dataValidation type="textLength" operator="lessThanOrEqual" allowBlank="1" showInputMessage="1" showErrorMessage="1" errorTitle="Ошибка" error="Допускается ввод не более 900 символов!" sqref="J85">
      <formula1>900</formula1>
    </dataValidation>
    <dataValidation allowBlank="1" showInputMessage="1" showErrorMessage="1" prompt="Выберите виды деятельности, выполнив двойной щелчок левой кнопки мыши по ячейке." sqref="G85"/>
    <dataValidation allowBlank="1" showInputMessage="1" showErrorMessage="1" prompt="Для выбора выполните двойной щелчок левой клавиши мыши по соответствующей ячейке." sqref="F8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4"/>
    <dataValidation allowBlank="1" showInputMessage="1" showErrorMessage="1" prompt="Выберите виды деятельности, выполнив двойной щелчок левой кнопки мыши по ячейке." sqref="G84"/>
    <dataValidation allowBlank="1" showInputMessage="1" showErrorMessage="1" prompt="Для выбора выполните двойной щелчок левой клавиши мыши по соответствующей ячейке." sqref="F84"/>
    <dataValidation allowBlank="1" showInputMessage="1" showErrorMessage="1" prompt="Для выбора выполните двойной щелчок левой клавиши мыши по соответствующей ячейке." sqref="S83"/>
    <dataValidation type="textLength" operator="lessThanOrEqual" allowBlank="1" showInputMessage="1" showErrorMessage="1" errorTitle="Ошибка" error="Допускается ввод не более 900 символов!" sqref="R83">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3"/>
    <dataValidation type="textLength" operator="lessThanOrEqual" allowBlank="1" showInputMessage="1" showErrorMessage="1" errorTitle="Ошибка" error="Допускается ввод не более 900 символов!" sqref="J83">
      <formula1>900</formula1>
    </dataValidation>
    <dataValidation allowBlank="1" showInputMessage="1" showErrorMessage="1" prompt="Выберите виды деятельности, выполнив двойной щелчок левой кнопки мыши по ячейке." sqref="G83"/>
    <dataValidation allowBlank="1" showInputMessage="1" showErrorMessage="1" prompt="Для выбора выполните двойной щелчок левой клавиши мыши по соответствующей ячейке." sqref="F83"/>
    <dataValidation type="textLength" operator="lessThanOrEqual" allowBlank="1" showInputMessage="1" showErrorMessage="1" errorTitle="Ошибка" error="Допускается ввод не более 900 символов!" sqref="W82">
      <formula1>900</formula1>
    </dataValidation>
    <dataValidation type="textLength" operator="lessThanOrEqual" allowBlank="1" showInputMessage="1" showErrorMessage="1" errorTitle="Ошибка" error="Допускается ввод не более 900 символов!" sqref="V82">
      <formula1>900</formula1>
    </dataValidation>
    <dataValidation allowBlank="1" showInputMessage="1" showErrorMessage="1" prompt="Для выбора выполните двойной щелчок левой клавиши мыши по соответствующей ячейке." sqref="S82"/>
    <dataValidation type="textLength" operator="lessThanOrEqual" allowBlank="1" showInputMessage="1" showErrorMessage="1" errorTitle="Ошибка" error="Допускается ввод не более 900 символов!" sqref="R82">
      <formula1>900</formula1>
    </dataValidation>
    <dataValidation allowBlank="1" showInputMessage="1" showErrorMessage="1" prompt="Для выбора выполните двойной щелчок левой клавиши мыши по соответствующей ячейке." sqref="O8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2"/>
    <dataValidation type="textLength" operator="lessThanOrEqual" allowBlank="1" showInputMessage="1" showErrorMessage="1" errorTitle="Ошибка" error="Допускается ввод не более 900 символов!" sqref="J82">
      <formula1>900</formula1>
    </dataValidation>
    <dataValidation allowBlank="1" showInputMessage="1" showErrorMessage="1" prompt="Выберите виды деятельности, выполнив двойной щелчок левой кнопки мыши по ячейке." sqref="G82"/>
    <dataValidation allowBlank="1" showInputMessage="1" showErrorMessage="1" prompt="Для выбора выполните двойной щелчок левой клавиши мыши по соответствующей ячейке." sqref="F82"/>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1"/>
    <dataValidation allowBlank="1" showInputMessage="1" showErrorMessage="1" prompt="Для выбора выполните двойной щелчок левой клавиши мыши по соответствующей ячейке." sqref="S80"/>
    <dataValidation type="textLength" operator="lessThanOrEqual" allowBlank="1" showInputMessage="1" showErrorMessage="1" errorTitle="Ошибка" error="Допускается ввод не более 900 символов!" sqref="R8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0"/>
    <dataValidation type="textLength" operator="lessThanOrEqual" allowBlank="1" showInputMessage="1" showErrorMessage="1" errorTitle="Ошибка" error="Допускается ввод не более 900 символов!" sqref="J80">
      <formula1>900</formula1>
    </dataValidation>
    <dataValidation type="textLength" operator="lessThanOrEqual" allowBlank="1" showInputMessage="1" showErrorMessage="1" errorTitle="Ошибка" error="Допускается ввод не более 900 символов!" sqref="W79">
      <formula1>900</formula1>
    </dataValidation>
    <dataValidation type="textLength" operator="lessThanOrEqual" allowBlank="1" showInputMessage="1" showErrorMessage="1" errorTitle="Ошибка" error="Допускается ввод не более 900 символов!" sqref="V79">
      <formula1>900</formula1>
    </dataValidation>
    <dataValidation allowBlank="1" showInputMessage="1" showErrorMessage="1" prompt="Для выбора выполните двойной щелчок левой клавиши мыши по соответствующей ячейке." sqref="S79"/>
    <dataValidation type="textLength" operator="lessThanOrEqual" allowBlank="1" showInputMessage="1" showErrorMessage="1" errorTitle="Ошибка" error="Допускается ввод не более 900 символов!" sqref="R79">
      <formula1>900</formula1>
    </dataValidation>
    <dataValidation allowBlank="1" showInputMessage="1" showErrorMessage="1" prompt="Для выбора выполните двойной щелчок левой клавиши мыши по соответствующей ячейке." sqref="O7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79"/>
    <dataValidation allowBlank="1" showInputMessage="1" showErrorMessage="1" prompt="Для выбора выполните двойной щелчок левой клавиши мыши по соответствующей ячейке." sqref="K79"/>
    <dataValidation type="textLength" operator="lessThanOrEqual" allowBlank="1" showInputMessage="1" showErrorMessage="1" errorTitle="Ошибка" error="Допускается ввод не более 900 символов!" sqref="J79">
      <formula1>900</formula1>
    </dataValidation>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65:G179 G181:G195 G79:G80 G81 G142:G16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154:N156 N144:N146 N149:N151 N53:N55 N165:N167 N170:N172 N186:N188 N181:N183 N58:N60 N63:N65 N159:N161 N175:N177 N191:N19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144:J145 R144:R145 V144:W144 J154:J155 R154:R155 V154:W154 J149:J150 R149:R150 V149:W149 J53:J54 R53:R54 V53:W53 J165:J166 R165:R166 V165:W165 J170:J171 R170:R171 V170:W170 J186:J187 R186:R187 V186:W186 J181:J182 R181:R182 V181:W181 J58:J59 R58:R59 V58:W58 J63:J64 R63:R64 V63:W63 J159:J160 R159:R160 V159:W159 J175:J176 R175:R176 V175:W175 J191:J192 R191:R192 V191:W19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144:K145 O144:O145 S144:S145 K154:K155 O154:O155 S154:S155 K149:K150 O149:O150 S53:S54 S149:S150 K53:K54 O53:O54 O191:O192 O165:O166 S165:S166 O170:O171 S170:S171 K165:K166 K170:K171 S159:S160 K186:K187 O186:O187 K181:K182 O181:O182 S186:S187 O175:O176 S181:S182 O58:O59 S58:S59 K58:K59 K63:K64 O63:O64 S63:S64 F79:F80 F81 F142:F163 K159:K160 O159:O160 F165:F179 S175:S176 K175:K176 F181:F195 S191:S192 K191:K19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85F964-9B01-AEF1-B5AE-2E33E165B05A}"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7" width="9.140625" hidden="1"/>
    <col min="3" max="4" style="1857" width="3.00390625" customWidth="1"/>
    <col min="5" max="6" style="1857" width="15.00390625" customWidth="1"/>
    <col min="7" max="7" style="1857" width="11.57421875" customWidth="1"/>
    <col min="8" max="9" style="1857" width="3.00390625" customWidth="1"/>
    <col min="10" max="10" style="1857" width="12.00390625" customWidth="1"/>
    <col min="11" max="11" style="1857" width="0.28125" customWidth="1"/>
    <col min="12" max="13" style="1857" width="10.00390625" customWidth="1"/>
    <col min="14" max="15" style="1857" width="3.00390625" customWidth="1"/>
    <col min="16" max="16" style="1857" width="19.00390625" customWidth="1"/>
    <col min="17" max="17" style="1857" width="0.28125" customWidth="1"/>
    <col min="18" max="19" style="1857" width="10.00390625" customWidth="1"/>
    <col min="20" max="21" style="1857" width="3.00390625" customWidth="1"/>
    <col min="22" max="22" style="1857" width="25.00390625" customWidth="1"/>
    <col min="23" max="23" style="1857" width="0.28125" customWidth="1"/>
    <col min="24" max="25" style="1857" width="10.00390625" customWidth="1"/>
    <col min="26" max="27" style="1857" width="3.00390625" customWidth="1"/>
    <col min="28" max="28" style="1857" width="16.00390625" customWidth="1"/>
    <col min="29" max="29" style="1857" width="0.28125" customWidth="1"/>
    <col min="30" max="31" style="1857" width="10.00390625" customWidth="1"/>
    <col min="32" max="33" style="1857" width="3.00390625" customWidth="1"/>
    <col min="34" max="34" style="1857" width="8.00390625" customWidth="1"/>
    <col min="35" max="35" style="1857" width="21.00390625" customWidth="1"/>
    <col min="36" max="36" style="1857" width="8.00390625" customWidth="1"/>
    <col min="37" max="37" style="365" width="8.00390625" customWidth="1"/>
    <col min="38" max="64" style="1857" width="8.00390625" customWidth="1"/>
    <col min="65" max="65" style="1857" width="9.140625" hidden="1"/>
  </cols>
  <sheetData>
    <row s="1323"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c r="BM1" s="426" t="s">
        <v>14</v>
      </c>
    </row>
    <row s="1560" customFormat="1" customHeight="1" ht="11.25" hidden="1">
      <c r="L2" s="1560" t="s">
        <v>442</v>
      </c>
      <c r="M2" s="1560" t="s">
        <v>443</v>
      </c>
      <c r="R2" s="1560" t="s">
        <v>444</v>
      </c>
      <c r="S2" s="1560" t="s">
        <v>443</v>
      </c>
      <c r="X2" s="1560" t="s">
        <v>442</v>
      </c>
      <c r="Y2" s="1560" t="s">
        <v>443</v>
      </c>
      <c r="AD2" s="1560" t="s">
        <v>442</v>
      </c>
      <c r="AE2" s="1560" t="s">
        <v>443</v>
      </c>
      <c r="AJ2" s="1582"/>
      <c r="AK2" s="1582"/>
      <c r="AL2" s="1582"/>
      <c r="AM2" s="1582"/>
      <c r="AN2" s="1582"/>
      <c r="AO2" s="1582"/>
      <c r="AP2" s="1582"/>
      <c r="AQ2" s="1582"/>
      <c r="AR2" s="1582"/>
      <c r="AS2" s="1582"/>
      <c r="AT2" s="1582"/>
      <c r="AU2" s="1582"/>
      <c r="AV2" s="1582"/>
      <c r="AW2" s="1582"/>
      <c r="AX2" s="1582"/>
      <c r="AY2" s="1582"/>
      <c r="AZ2" s="1582"/>
      <c r="BA2" s="1582"/>
      <c r="BB2" s="1582"/>
      <c r="BC2" s="1582"/>
      <c r="BD2" s="1582"/>
      <c r="BE2" s="1582"/>
      <c r="BF2" s="1582"/>
      <c r="BG2" s="1582"/>
      <c r="BH2" s="1582"/>
      <c r="BI2" s="1582"/>
      <c r="BJ2" s="1582"/>
      <c r="BK2" s="1582"/>
      <c r="BL2" s="1582"/>
      <c r="BM2" s="1560">
        <v>0</v>
      </c>
    </row>
    <row s="1561" customFormat="1" customHeight="1" ht="11.549999999999999">
      <c r="AJ3" s="1581"/>
      <c r="AK3" s="313"/>
      <c r="AL3" s="1581"/>
      <c r="AM3" s="1581"/>
      <c r="AN3" s="1581"/>
      <c r="AO3" s="1581"/>
      <c r="AP3" s="1581"/>
      <c r="AQ3" s="1581"/>
      <c r="AR3" s="1581"/>
      <c r="AS3" s="1581"/>
      <c r="AT3" s="1581"/>
      <c r="AU3" s="1581"/>
      <c r="AV3" s="1581"/>
      <c r="AW3" s="1581"/>
      <c r="AX3" s="1581"/>
      <c r="AY3" s="1581"/>
      <c r="AZ3" s="1581"/>
      <c r="BA3" s="1581"/>
      <c r="BB3" s="1581"/>
      <c r="BC3" s="1581"/>
      <c r="BD3" s="1581"/>
      <c r="BE3" s="1581"/>
      <c r="BF3" s="1581"/>
      <c r="BG3" s="1581"/>
      <c r="BH3" s="1581"/>
      <c r="BI3" s="1581"/>
      <c r="BJ3" s="1581"/>
      <c r="BK3" s="1581"/>
      <c r="BL3" s="1581"/>
      <c r="BM3" s="1561">
        <v>11</v>
      </c>
    </row>
    <row s="1826" customFormat="1" customHeight="1" ht="34.5">
      <c r="A4" s="1163"/>
      <c r="B4" s="1162"/>
      <c r="C4" s="1522"/>
      <c r="D4" s="2198" t="s">
        <v>445</v>
      </c>
      <c r="E4" s="2198"/>
      <c r="F4" s="2198"/>
      <c r="G4" s="2198"/>
      <c r="H4" s="2198"/>
      <c r="I4" s="2198"/>
      <c r="J4" s="2198"/>
      <c r="K4" s="706"/>
      <c r="T4" s="1562"/>
      <c r="AJ4" s="1583"/>
      <c r="AK4" s="1584"/>
      <c r="AL4" s="1583"/>
      <c r="AM4" s="1583"/>
      <c r="AN4" s="1583"/>
      <c r="AO4" s="1583"/>
      <c r="AP4" s="1583"/>
      <c r="AQ4" s="1583"/>
      <c r="AR4" s="1583"/>
      <c r="AS4" s="1583"/>
      <c r="AT4" s="1583"/>
      <c r="AU4" s="1583"/>
      <c r="AV4" s="1583"/>
      <c r="AW4" s="1583"/>
      <c r="AX4" s="1583"/>
      <c r="AY4" s="1583"/>
      <c r="AZ4" s="1583"/>
      <c r="BA4" s="1583"/>
      <c r="BB4" s="1583"/>
      <c r="BC4" s="1583"/>
      <c r="BD4" s="1583"/>
      <c r="BE4" s="1583"/>
      <c r="BF4" s="1583"/>
      <c r="BG4" s="1583"/>
      <c r="BH4" s="1583"/>
      <c r="BI4" s="1583"/>
      <c r="BJ4" s="1583"/>
      <c r="BK4" s="1583"/>
      <c r="BL4" s="1583"/>
      <c r="BM4" s="514">
        <v>33</v>
      </c>
    </row>
    <row s="1826" customFormat="1" customHeight="1" ht="14.699999999999998">
      <c r="A5" s="1639"/>
      <c r="B5" s="1638"/>
      <c r="C5" s="1522"/>
      <c r="D5" s="2183" t="str">
        <f>IF(org=0,"Не определено",org)</f>
        <v>ГУП "Белоблводоканал"</v>
      </c>
      <c r="E5" s="2183"/>
      <c r="F5" s="2183"/>
      <c r="G5" s="2183"/>
      <c r="H5" s="2183"/>
      <c r="I5" s="2183"/>
      <c r="J5" s="2183"/>
      <c r="K5" s="706"/>
      <c r="T5" s="1562"/>
      <c r="AJ5" s="1583"/>
      <c r="AK5" s="1584"/>
      <c r="AL5" s="1583"/>
      <c r="AM5" s="1583"/>
      <c r="AN5" s="1583"/>
      <c r="AO5" s="1583"/>
      <c r="AP5" s="1583"/>
      <c r="AQ5" s="1583"/>
      <c r="AR5" s="1583"/>
      <c r="AS5" s="1583"/>
      <c r="AT5" s="1583"/>
      <c r="AU5" s="1583"/>
      <c r="AV5" s="1583"/>
      <c r="AW5" s="1583"/>
      <c r="AX5" s="1583"/>
      <c r="AY5" s="1583"/>
      <c r="AZ5" s="1583"/>
      <c r="BA5" s="1583"/>
      <c r="BB5" s="1583"/>
      <c r="BC5" s="1583"/>
      <c r="BD5" s="1583"/>
      <c r="BE5" s="1583"/>
      <c r="BF5" s="1583"/>
      <c r="BG5" s="1583"/>
      <c r="BH5" s="1583"/>
      <c r="BI5" s="1583"/>
      <c r="BJ5" s="1583"/>
      <c r="BK5" s="1583"/>
      <c r="BL5" s="1583"/>
      <c r="BM5" s="1616">
        <v>14</v>
      </c>
    </row>
    <row s="1826" customFormat="1" customHeight="1" ht="14.699999999999998">
      <c r="A6" s="1163"/>
      <c r="B6" s="1162"/>
      <c r="C6" s="1522"/>
      <c r="D6" s="706"/>
      <c r="E6" s="706"/>
      <c r="F6" s="706"/>
      <c r="G6" s="706"/>
      <c r="H6" s="706"/>
      <c r="I6" s="706"/>
      <c r="J6" s="706"/>
      <c r="K6" s="706"/>
      <c r="T6" s="1562"/>
      <c r="AJ6" s="1583"/>
      <c r="AK6" s="1584"/>
      <c r="AL6" s="1583"/>
      <c r="AM6" s="1583"/>
      <c r="AN6" s="1583"/>
      <c r="AO6" s="1583"/>
      <c r="AP6" s="1583"/>
      <c r="AQ6" s="1583"/>
      <c r="AR6" s="1583"/>
      <c r="AS6" s="1583"/>
      <c r="AT6" s="1583"/>
      <c r="AU6" s="1583"/>
      <c r="AV6" s="1583"/>
      <c r="AW6" s="1583"/>
      <c r="AX6" s="1583"/>
      <c r="AY6" s="1583"/>
      <c r="AZ6" s="1583"/>
      <c r="BA6" s="1583"/>
      <c r="BB6" s="1583"/>
      <c r="BC6" s="1583"/>
      <c r="BD6" s="1583"/>
      <c r="BE6" s="1583"/>
      <c r="BF6" s="1583"/>
      <c r="BG6" s="1583"/>
      <c r="BH6" s="1583"/>
      <c r="BI6" s="1583"/>
      <c r="BJ6" s="1583"/>
      <c r="BK6" s="1583"/>
      <c r="BL6" s="1583"/>
      <c r="BM6" s="514">
        <v>14</v>
      </c>
    </row>
    <row s="1323" customFormat="1" customHeight="1" ht="1.0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c r="BM7" s="426">
        <v>1</v>
      </c>
    </row>
    <row customHeight="1" ht="33.75">
      <c r="D8" s="2134" t="s">
        <v>88</v>
      </c>
      <c r="E8" s="2134" t="s">
        <v>201</v>
      </c>
      <c r="F8" s="2199" t="s">
        <v>214</v>
      </c>
      <c r="G8" s="2200"/>
      <c r="H8" s="2199" t="s">
        <v>88</v>
      </c>
      <c r="I8" s="2200"/>
      <c r="J8" s="2134" t="s">
        <v>215</v>
      </c>
      <c r="K8" s="1563"/>
      <c r="L8" s="2203" t="s">
        <v>446</v>
      </c>
      <c r="M8" s="2203"/>
      <c r="N8" s="2203"/>
      <c r="O8" s="2203"/>
      <c r="P8" s="2203"/>
      <c r="Q8" s="1564"/>
      <c r="R8" s="2103" t="s">
        <v>447</v>
      </c>
      <c r="S8" s="2204"/>
      <c r="T8" s="2204"/>
      <c r="U8" s="2204"/>
      <c r="V8" s="2204"/>
      <c r="W8" s="1564"/>
      <c r="X8" s="2205" t="s">
        <v>448</v>
      </c>
      <c r="Y8" s="2205"/>
      <c r="Z8" s="2205"/>
      <c r="AA8" s="2205"/>
      <c r="AB8" s="2205"/>
      <c r="AC8" s="1565"/>
      <c r="AD8" s="2134" t="s">
        <v>449</v>
      </c>
      <c r="AE8" s="2134"/>
      <c r="AF8" s="2134"/>
      <c r="AG8" s="2134"/>
      <c r="AH8" s="2108"/>
      <c r="AI8" s="2134" t="s">
        <v>450</v>
      </c>
      <c r="AJ8" s="1581"/>
      <c r="BM8" s="300">
        <v>32</v>
      </c>
    </row>
    <row customHeight="1" ht="23.25">
      <c r="D9" s="2134"/>
      <c r="E9" s="2134"/>
      <c r="F9" s="2182" t="s">
        <v>89</v>
      </c>
      <c r="G9" s="2182" t="s">
        <v>220</v>
      </c>
      <c r="H9" s="2201"/>
      <c r="I9" s="2202"/>
      <c r="J9" s="2108"/>
      <c r="K9" s="1566"/>
      <c r="L9" s="2134" t="s">
        <v>451</v>
      </c>
      <c r="M9" s="2108"/>
      <c r="N9" s="2199" t="s">
        <v>88</v>
      </c>
      <c r="O9" s="2200"/>
      <c r="P9" s="2134" t="s">
        <v>221</v>
      </c>
      <c r="Q9" s="1563"/>
      <c r="R9" s="2134" t="s">
        <v>451</v>
      </c>
      <c r="S9" s="2108"/>
      <c r="T9" s="2199" t="s">
        <v>88</v>
      </c>
      <c r="U9" s="2200"/>
      <c r="V9" s="2134" t="s">
        <v>221</v>
      </c>
      <c r="W9" s="1563"/>
      <c r="X9" s="2134" t="s">
        <v>451</v>
      </c>
      <c r="Y9" s="2108"/>
      <c r="Z9" s="2199" t="s">
        <v>88</v>
      </c>
      <c r="AA9" s="2200"/>
      <c r="AB9" s="2134" t="s">
        <v>452</v>
      </c>
      <c r="AC9" s="1563"/>
      <c r="AD9" s="2134" t="s">
        <v>451</v>
      </c>
      <c r="AE9" s="2108"/>
      <c r="AF9" s="2199" t="s">
        <v>88</v>
      </c>
      <c r="AG9" s="2200"/>
      <c r="AH9" s="2108" t="s">
        <v>452</v>
      </c>
      <c r="AI9" s="2134"/>
      <c r="AJ9" s="1581"/>
      <c r="BM9" s="300">
        <v>22</v>
      </c>
    </row>
    <row customHeight="1" ht="24">
      <c r="D10" s="2182"/>
      <c r="E10" s="2182"/>
      <c r="F10" s="2206"/>
      <c r="G10" s="2206"/>
      <c r="H10" s="2207"/>
      <c r="I10" s="2208"/>
      <c r="J10" s="2199"/>
      <c r="K10" s="1566"/>
      <c r="L10" s="1585" t="s">
        <v>453</v>
      </c>
      <c r="M10" s="1580" t="s">
        <v>454</v>
      </c>
      <c r="N10" s="2201"/>
      <c r="O10" s="2202"/>
      <c r="P10" s="2182"/>
      <c r="Q10" s="1563"/>
      <c r="R10" s="1585" t="s">
        <v>453</v>
      </c>
      <c r="S10" s="1580" t="s">
        <v>454</v>
      </c>
      <c r="T10" s="2201"/>
      <c r="U10" s="2202"/>
      <c r="V10" s="2182"/>
      <c r="W10" s="1563"/>
      <c r="X10" s="1585" t="s">
        <v>453</v>
      </c>
      <c r="Y10" s="1580" t="s">
        <v>454</v>
      </c>
      <c r="Z10" s="2201"/>
      <c r="AA10" s="2202"/>
      <c r="AB10" s="2182"/>
      <c r="AC10" s="1563"/>
      <c r="AD10" s="1585" t="s">
        <v>453</v>
      </c>
      <c r="AE10" s="1580" t="s">
        <v>454</v>
      </c>
      <c r="AF10" s="2201"/>
      <c r="AG10" s="2202"/>
      <c r="AH10" s="2199"/>
      <c r="AI10" s="2182"/>
      <c r="AJ10" s="1581"/>
      <c r="AK10" s="261" t="s">
        <v>455</v>
      </c>
      <c r="AL10" s="261" t="s">
        <v>222</v>
      </c>
      <c r="BM10" s="300">
        <v>23</v>
      </c>
    </row>
    <row customHeight="1" ht="15">
      <c r="D11" s="2190" t="s">
        <v>108</v>
      </c>
      <c r="E11" s="2186" t="s">
        <v>456</v>
      </c>
      <c r="F11" s="2186" t="s">
        <v>457</v>
      </c>
      <c r="G11" s="2192" t="s">
        <v>19</v>
      </c>
      <c r="H11" s="1606"/>
      <c r="I11" s="2188"/>
      <c r="J11" s="2159"/>
      <c r="K11" s="1521"/>
      <c r="L11" s="2144"/>
      <c r="M11" s="2144"/>
      <c r="N11" s="1591"/>
      <c r="O11" s="2144"/>
      <c r="P11" s="2159"/>
      <c r="Q11" s="1592"/>
      <c r="R11" s="2144"/>
      <c r="S11" s="2144"/>
      <c r="T11" s="1593"/>
      <c r="U11" s="2144"/>
      <c r="V11" s="2159"/>
      <c r="W11" s="1594"/>
      <c r="X11" s="2144"/>
      <c r="Y11" s="2144"/>
      <c r="Z11" s="1591"/>
      <c r="AA11" s="2144"/>
      <c r="AB11" s="2159"/>
      <c r="AC11" s="1595"/>
      <c r="AD11" s="2144"/>
      <c r="AE11" s="2144"/>
      <c r="AF11" s="1520"/>
      <c r="AG11" s="1520"/>
      <c r="AH11" s="1596"/>
      <c r="AI11" s="1303"/>
      <c r="AJ11" s="1581"/>
      <c r="BM11" s="300">
        <v>14</v>
      </c>
    </row>
    <row customHeight="1" ht="14.699999999999998">
      <c r="D12" s="2190"/>
      <c r="E12" s="2186"/>
      <c r="F12" s="2186"/>
      <c r="G12" s="2193"/>
      <c r="H12" s="1607"/>
      <c r="I12" s="2189"/>
      <c r="J12" s="2160"/>
      <c r="K12" s="1617"/>
      <c r="L12" s="2145"/>
      <c r="M12" s="2145"/>
      <c r="N12" s="1597"/>
      <c r="O12" s="2145"/>
      <c r="P12" s="2160"/>
      <c r="Q12" s="1598"/>
      <c r="R12" s="2145"/>
      <c r="S12" s="2145"/>
      <c r="T12" s="1599"/>
      <c r="U12" s="2145"/>
      <c r="V12" s="2160"/>
      <c r="W12" s="1600"/>
      <c r="X12" s="2145"/>
      <c r="Y12" s="2145"/>
      <c r="Z12" s="1597"/>
      <c r="AA12" s="2145"/>
      <c r="AB12" s="2160"/>
      <c r="AC12" s="1601"/>
      <c r="AD12" s="2145"/>
      <c r="AE12" s="2145"/>
      <c r="AF12" s="1602"/>
      <c r="AG12" s="1602"/>
      <c r="AH12" s="2184"/>
      <c r="AI12" s="2185"/>
      <c r="AJ12" s="1581"/>
      <c r="BM12" s="300">
        <v>14</v>
      </c>
    </row>
    <row customHeight="1" ht="14.699999999999998">
      <c r="D13" s="2190"/>
      <c r="E13" s="2186"/>
      <c r="F13" s="2186"/>
      <c r="G13" s="2193"/>
      <c r="H13" s="1607"/>
      <c r="I13" s="2189"/>
      <c r="J13" s="2160"/>
      <c r="K13" s="1617"/>
      <c r="L13" s="2145"/>
      <c r="M13" s="2145"/>
      <c r="N13" s="1597"/>
      <c r="O13" s="2145"/>
      <c r="P13" s="2160"/>
      <c r="Q13" s="1598"/>
      <c r="R13" s="2145"/>
      <c r="S13" s="2145"/>
      <c r="T13" s="1599"/>
      <c r="U13" s="2145"/>
      <c r="V13" s="2160"/>
      <c r="W13" s="1600"/>
      <c r="X13" s="2145"/>
      <c r="Y13" s="2145"/>
      <c r="Z13" s="1519"/>
      <c r="AA13" s="1602"/>
      <c r="AB13" s="2184"/>
      <c r="AC13" s="2184"/>
      <c r="AD13" s="2184"/>
      <c r="AE13" s="2184"/>
      <c r="AF13" s="2184"/>
      <c r="AG13" s="2184"/>
      <c r="AH13" s="2184"/>
      <c r="AI13" s="2185"/>
      <c r="AJ13" s="1581"/>
      <c r="BM13" s="300">
        <v>14</v>
      </c>
    </row>
    <row customHeight="1" ht="14.699999999999998">
      <c r="D14" s="2190"/>
      <c r="E14" s="2186"/>
      <c r="F14" s="2186"/>
      <c r="G14" s="2193"/>
      <c r="H14" s="1607"/>
      <c r="I14" s="2189"/>
      <c r="J14" s="2160"/>
      <c r="K14" s="1617"/>
      <c r="L14" s="2145"/>
      <c r="M14" s="2145"/>
      <c r="N14" s="1597"/>
      <c r="O14" s="2145"/>
      <c r="P14" s="2160"/>
      <c r="Q14" s="1598"/>
      <c r="R14" s="2145"/>
      <c r="S14" s="2145"/>
      <c r="T14" s="1603"/>
      <c r="U14" s="1604"/>
      <c r="V14" s="2184"/>
      <c r="W14" s="2184"/>
      <c r="X14" s="2184"/>
      <c r="Y14" s="2184"/>
      <c r="Z14" s="2184"/>
      <c r="AA14" s="2184"/>
      <c r="AB14" s="2184"/>
      <c r="AC14" s="2184"/>
      <c r="AD14" s="2184"/>
      <c r="AE14" s="2184"/>
      <c r="AF14" s="2184"/>
      <c r="AG14" s="2184"/>
      <c r="AH14" s="2184"/>
      <c r="AI14" s="2185"/>
      <c r="AJ14" s="1581"/>
      <c r="BM14" s="300">
        <v>14</v>
      </c>
    </row>
    <row customHeight="1" ht="11.549999999999999">
      <c r="D15" s="2190"/>
      <c r="E15" s="2186"/>
      <c r="F15" s="2186"/>
      <c r="G15" s="2193"/>
      <c r="H15" s="1608"/>
      <c r="I15" s="2189"/>
      <c r="J15" s="2160"/>
      <c r="K15" s="1617"/>
      <c r="L15" s="2145"/>
      <c r="M15" s="2145"/>
      <c r="N15" s="1602"/>
      <c r="O15" s="1602"/>
      <c r="P15" s="2184"/>
      <c r="Q15" s="2184"/>
      <c r="R15" s="2184"/>
      <c r="S15" s="2184"/>
      <c r="T15" s="2184"/>
      <c r="U15" s="2184"/>
      <c r="V15" s="2184"/>
      <c r="W15" s="2184"/>
      <c r="X15" s="2184"/>
      <c r="Y15" s="2184"/>
      <c r="Z15" s="2184"/>
      <c r="AA15" s="2184"/>
      <c r="AB15" s="2184"/>
      <c r="AC15" s="2184"/>
      <c r="AD15" s="2184"/>
      <c r="AE15" s="2184"/>
      <c r="AF15" s="2184"/>
      <c r="AG15" s="2184"/>
      <c r="AH15" s="2184"/>
      <c r="AI15" s="2185"/>
      <c r="AJ15" s="1581"/>
      <c r="BM15" s="300">
        <v>11</v>
      </c>
    </row>
    <row s="1561" customFormat="1" customHeight="1" ht="11.549999999999999">
      <c r="D16" s="2196"/>
      <c r="E16" s="2197"/>
      <c r="F16" s="2187"/>
      <c r="G16" s="2119"/>
      <c r="H16" s="1605"/>
      <c r="I16" s="1609"/>
      <c r="J16" s="2194"/>
      <c r="K16" s="2194"/>
      <c r="L16" s="2194"/>
      <c r="M16" s="2194"/>
      <c r="N16" s="2194"/>
      <c r="O16" s="2194"/>
      <c r="P16" s="2194"/>
      <c r="Q16" s="2194"/>
      <c r="R16" s="2194"/>
      <c r="S16" s="2194"/>
      <c r="T16" s="2194"/>
      <c r="U16" s="2194"/>
      <c r="V16" s="2194"/>
      <c r="W16" s="2194"/>
      <c r="X16" s="2194"/>
      <c r="Y16" s="2194"/>
      <c r="Z16" s="2194"/>
      <c r="AA16" s="2194"/>
      <c r="AB16" s="2194"/>
      <c r="AC16" s="2194"/>
      <c r="AD16" s="2194"/>
      <c r="AE16" s="2194"/>
      <c r="AF16" s="2194"/>
      <c r="AG16" s="2194"/>
      <c r="AH16" s="2194"/>
      <c r="AI16" s="2195"/>
      <c r="AJ16" s="1581"/>
      <c r="AK16" s="313"/>
      <c r="AL16" s="1581"/>
      <c r="AM16" s="1581"/>
      <c r="AN16" s="1581"/>
      <c r="AO16" s="1581"/>
      <c r="AP16" s="1581"/>
      <c r="AQ16" s="1581"/>
      <c r="AR16" s="1581"/>
      <c r="AS16" s="1581"/>
      <c r="AT16" s="1581"/>
      <c r="AU16" s="1581"/>
      <c r="AV16" s="1581"/>
      <c r="AW16" s="1581"/>
      <c r="AX16" s="1581"/>
      <c r="AY16" s="1581"/>
      <c r="AZ16" s="1581"/>
      <c r="BA16" s="1581"/>
      <c r="BB16" s="1581"/>
      <c r="BC16" s="1581"/>
      <c r="BD16" s="1581"/>
      <c r="BE16" s="1581"/>
      <c r="BF16" s="1581"/>
      <c r="BG16" s="1581"/>
      <c r="BH16" s="1581"/>
      <c r="BI16" s="1581"/>
      <c r="BJ16" s="1581"/>
      <c r="BK16" s="1581"/>
      <c r="BL16" s="1581"/>
      <c r="BM16" s="1561">
        <v>11</v>
      </c>
    </row>
    <row customHeight="1" ht="15">
      <c r="D17" s="2190" t="s">
        <v>99</v>
      </c>
      <c r="E17" s="2186" t="s">
        <v>456</v>
      </c>
      <c r="F17" s="2186" t="s">
        <v>458</v>
      </c>
      <c r="G17" s="2192" t="s">
        <v>19</v>
      </c>
      <c r="H17" s="1606"/>
      <c r="I17" s="2188"/>
      <c r="J17" s="2159"/>
      <c r="K17" s="1521"/>
      <c r="L17" s="2144"/>
      <c r="M17" s="2144"/>
      <c r="N17" s="1591"/>
      <c r="O17" s="2144"/>
      <c r="P17" s="2159"/>
      <c r="Q17" s="1592"/>
      <c r="R17" s="2144"/>
      <c r="S17" s="2144"/>
      <c r="T17" s="1593"/>
      <c r="U17" s="2144"/>
      <c r="V17" s="2159"/>
      <c r="W17" s="1594"/>
      <c r="X17" s="2144"/>
      <c r="Y17" s="2144"/>
      <c r="Z17" s="1591"/>
      <c r="AA17" s="2144"/>
      <c r="AB17" s="2159"/>
      <c r="AC17" s="1595"/>
      <c r="AD17" s="2144"/>
      <c r="AE17" s="2144"/>
      <c r="AF17" s="1520"/>
      <c r="AG17" s="1520"/>
      <c r="AH17" s="1596"/>
      <c r="AI17" s="1303"/>
      <c r="AJ17" s="1581"/>
      <c r="BM17" s="300">
        <v>14</v>
      </c>
    </row>
    <row customHeight="1" ht="14.699999999999998">
      <c r="D18" s="2190"/>
      <c r="E18" s="2186"/>
      <c r="F18" s="2186"/>
      <c r="G18" s="2193"/>
      <c r="H18" s="1607"/>
      <c r="I18" s="2189"/>
      <c r="J18" s="2160"/>
      <c r="K18" s="1590"/>
      <c r="L18" s="2145"/>
      <c r="M18" s="2145"/>
      <c r="N18" s="1597"/>
      <c r="O18" s="2145"/>
      <c r="P18" s="2160"/>
      <c r="Q18" s="1598"/>
      <c r="R18" s="2145"/>
      <c r="S18" s="2145"/>
      <c r="T18" s="1599"/>
      <c r="U18" s="2145"/>
      <c r="V18" s="2160"/>
      <c r="W18" s="1600"/>
      <c r="X18" s="2145"/>
      <c r="Y18" s="2145"/>
      <c r="Z18" s="1597"/>
      <c r="AA18" s="2145"/>
      <c r="AB18" s="2160"/>
      <c r="AC18" s="1601"/>
      <c r="AD18" s="2145"/>
      <c r="AE18" s="2145"/>
      <c r="AF18" s="1602"/>
      <c r="AG18" s="1602"/>
      <c r="AH18" s="2184"/>
      <c r="AI18" s="2185"/>
      <c r="AJ18" s="1581"/>
      <c r="BM18" s="300">
        <v>14</v>
      </c>
    </row>
    <row customHeight="1" ht="14.699999999999998">
      <c r="D19" s="2190"/>
      <c r="E19" s="2186"/>
      <c r="F19" s="2186"/>
      <c r="G19" s="2193"/>
      <c r="H19" s="1607"/>
      <c r="I19" s="2189"/>
      <c r="J19" s="2160"/>
      <c r="K19" s="1590"/>
      <c r="L19" s="2145"/>
      <c r="M19" s="2145"/>
      <c r="N19" s="1597"/>
      <c r="O19" s="2145"/>
      <c r="P19" s="2160"/>
      <c r="Q19" s="1598"/>
      <c r="R19" s="2145"/>
      <c r="S19" s="2145"/>
      <c r="T19" s="1599"/>
      <c r="U19" s="2145"/>
      <c r="V19" s="2160"/>
      <c r="W19" s="1600"/>
      <c r="X19" s="2145"/>
      <c r="Y19" s="2145"/>
      <c r="Z19" s="1519"/>
      <c r="AA19" s="1602"/>
      <c r="AB19" s="2184"/>
      <c r="AC19" s="2184"/>
      <c r="AD19" s="2184"/>
      <c r="AE19" s="2184"/>
      <c r="AF19" s="2184"/>
      <c r="AG19" s="2184"/>
      <c r="AH19" s="2184"/>
      <c r="AI19" s="2185"/>
      <c r="AJ19" s="1581"/>
      <c r="BM19" s="300">
        <v>14</v>
      </c>
    </row>
    <row customHeight="1" ht="14.699999999999998">
      <c r="D20" s="2190"/>
      <c r="E20" s="2186"/>
      <c r="F20" s="2186"/>
      <c r="G20" s="2193"/>
      <c r="H20" s="1607"/>
      <c r="I20" s="2189"/>
      <c r="J20" s="2160"/>
      <c r="K20" s="1590"/>
      <c r="L20" s="2145"/>
      <c r="M20" s="2145"/>
      <c r="N20" s="1597"/>
      <c r="O20" s="2145"/>
      <c r="P20" s="2160"/>
      <c r="Q20" s="1598"/>
      <c r="R20" s="2145"/>
      <c r="S20" s="2145"/>
      <c r="T20" s="1603"/>
      <c r="U20" s="1604"/>
      <c r="V20" s="2184"/>
      <c r="W20" s="2184"/>
      <c r="X20" s="2184"/>
      <c r="Y20" s="2184"/>
      <c r="Z20" s="2184"/>
      <c r="AA20" s="2184"/>
      <c r="AB20" s="2184"/>
      <c r="AC20" s="2184"/>
      <c r="AD20" s="2184"/>
      <c r="AE20" s="2184"/>
      <c r="AF20" s="2184"/>
      <c r="AG20" s="2184"/>
      <c r="AH20" s="2184"/>
      <c r="AI20" s="2185"/>
      <c r="AJ20" s="1581"/>
      <c r="BM20" s="300">
        <v>14</v>
      </c>
    </row>
    <row customHeight="1" ht="11.549999999999999">
      <c r="D21" s="2190"/>
      <c r="E21" s="2186"/>
      <c r="F21" s="2186"/>
      <c r="G21" s="2193"/>
      <c r="H21" s="1608"/>
      <c r="I21" s="2189"/>
      <c r="J21" s="2160"/>
      <c r="K21" s="1590"/>
      <c r="L21" s="2145"/>
      <c r="M21" s="2145"/>
      <c r="N21" s="1602"/>
      <c r="O21" s="1602"/>
      <c r="P21" s="2184"/>
      <c r="Q21" s="2184"/>
      <c r="R21" s="2184"/>
      <c r="S21" s="2184"/>
      <c r="T21" s="2184"/>
      <c r="U21" s="2184"/>
      <c r="V21" s="2184"/>
      <c r="W21" s="2184"/>
      <c r="X21" s="2184"/>
      <c r="Y21" s="2184"/>
      <c r="Z21" s="2184"/>
      <c r="AA21" s="2184"/>
      <c r="AB21" s="2184"/>
      <c r="AC21" s="2184"/>
      <c r="AD21" s="2184"/>
      <c r="AE21" s="2184"/>
      <c r="AF21" s="2184"/>
      <c r="AG21" s="2184"/>
      <c r="AH21" s="2184"/>
      <c r="AI21" s="2185"/>
      <c r="AJ21" s="1581"/>
      <c r="BM21" s="300">
        <v>11</v>
      </c>
    </row>
    <row s="1561" customFormat="1" customHeight="1" ht="11.549999999999999">
      <c r="D22" s="2196"/>
      <c r="E22" s="2197"/>
      <c r="F22" s="2187"/>
      <c r="G22" s="2119"/>
      <c r="H22" s="1605"/>
      <c r="I22" s="1609"/>
      <c r="J22" s="2194"/>
      <c r="K22" s="2194"/>
      <c r="L22" s="2194"/>
      <c r="M22" s="2194"/>
      <c r="N22" s="2194"/>
      <c r="O22" s="2194"/>
      <c r="P22" s="2194"/>
      <c r="Q22" s="2194"/>
      <c r="R22" s="2194"/>
      <c r="S22" s="2194"/>
      <c r="T22" s="2194"/>
      <c r="U22" s="2194"/>
      <c r="V22" s="2194"/>
      <c r="W22" s="2194"/>
      <c r="X22" s="2194"/>
      <c r="Y22" s="2194"/>
      <c r="Z22" s="2194"/>
      <c r="AA22" s="2194"/>
      <c r="AB22" s="2194"/>
      <c r="AC22" s="2194"/>
      <c r="AD22" s="2194"/>
      <c r="AE22" s="2194"/>
      <c r="AF22" s="2194"/>
      <c r="AG22" s="2194"/>
      <c r="AH22" s="2194"/>
      <c r="AI22" s="2195"/>
      <c r="AJ22" s="1581"/>
      <c r="AK22" s="313"/>
      <c r="AL22" s="1581"/>
      <c r="AM22" s="1581"/>
      <c r="AN22" s="1581"/>
      <c r="AO22" s="1581"/>
      <c r="AP22" s="1581"/>
      <c r="AQ22" s="1581"/>
      <c r="AR22" s="1581"/>
      <c r="AS22" s="1581"/>
      <c r="AT22" s="1581"/>
      <c r="AU22" s="1581"/>
      <c r="AV22" s="1581"/>
      <c r="AW22" s="1581"/>
      <c r="AX22" s="1581"/>
      <c r="AY22" s="1581"/>
      <c r="AZ22" s="1581"/>
      <c r="BA22" s="1581"/>
      <c r="BB22" s="1581"/>
      <c r="BC22" s="1581"/>
      <c r="BD22" s="1581"/>
      <c r="BE22" s="1581"/>
      <c r="BF22" s="1581"/>
      <c r="BG22" s="1581"/>
      <c r="BH22" s="1581"/>
      <c r="BI22" s="1581"/>
      <c r="BJ22" s="1581"/>
      <c r="BK22" s="1581"/>
      <c r="BL22" s="1581"/>
      <c r="BM22" s="1561">
        <v>11</v>
      </c>
    </row>
    <row customHeight="1" ht="15">
      <c r="D23" s="2190" t="s">
        <v>90</v>
      </c>
      <c r="E23" s="2186" t="s">
        <v>456</v>
      </c>
      <c r="F23" s="2186" t="s">
        <v>459</v>
      </c>
      <c r="G23" s="2192" t="s">
        <v>19</v>
      </c>
      <c r="H23" s="1606"/>
      <c r="I23" s="2188"/>
      <c r="J23" s="2159"/>
      <c r="K23" s="1521"/>
      <c r="L23" s="2144"/>
      <c r="M23" s="2144"/>
      <c r="N23" s="1591"/>
      <c r="O23" s="2144"/>
      <c r="P23" s="2159"/>
      <c r="Q23" s="1592"/>
      <c r="R23" s="2144"/>
      <c r="S23" s="2144"/>
      <c r="T23" s="1593"/>
      <c r="U23" s="2144"/>
      <c r="V23" s="2159"/>
      <c r="W23" s="1594"/>
      <c r="X23" s="2144"/>
      <c r="Y23" s="2144"/>
      <c r="Z23" s="1591"/>
      <c r="AA23" s="2144"/>
      <c r="AB23" s="2159"/>
      <c r="AC23" s="1595"/>
      <c r="AD23" s="2144"/>
      <c r="AE23" s="2144"/>
      <c r="AF23" s="1520"/>
      <c r="AG23" s="1520"/>
      <c r="AH23" s="1596"/>
      <c r="AI23" s="1303"/>
      <c r="AJ23" s="1581"/>
      <c r="AK23" s="313" t="s">
        <v>98</v>
      </c>
      <c r="BM23" s="300">
        <v>14</v>
      </c>
    </row>
    <row customHeight="1" ht="14.699999999999998">
      <c r="D24" s="2190"/>
      <c r="E24" s="2186"/>
      <c r="F24" s="2186"/>
      <c r="G24" s="2193"/>
      <c r="H24" s="1607"/>
      <c r="I24" s="2189"/>
      <c r="J24" s="2160"/>
      <c r="K24" s="1617"/>
      <c r="L24" s="2145"/>
      <c r="M24" s="2145"/>
      <c r="N24" s="1597"/>
      <c r="O24" s="2145"/>
      <c r="P24" s="2160"/>
      <c r="Q24" s="1598"/>
      <c r="R24" s="2145"/>
      <c r="S24" s="2145"/>
      <c r="T24" s="1599"/>
      <c r="U24" s="2145"/>
      <c r="V24" s="2160"/>
      <c r="W24" s="1600"/>
      <c r="X24" s="2145"/>
      <c r="Y24" s="2145"/>
      <c r="Z24" s="1597"/>
      <c r="AA24" s="2145"/>
      <c r="AB24" s="2160"/>
      <c r="AC24" s="1601"/>
      <c r="AD24" s="2145"/>
      <c r="AE24" s="2145"/>
      <c r="AF24" s="1602"/>
      <c r="AG24" s="1602"/>
      <c r="AH24" s="2184"/>
      <c r="AI24" s="2185"/>
      <c r="AJ24" s="1581"/>
      <c r="BM24" s="300">
        <v>14</v>
      </c>
    </row>
    <row customHeight="1" ht="14.699999999999998">
      <c r="D25" s="2190"/>
      <c r="E25" s="2186"/>
      <c r="F25" s="2186"/>
      <c r="G25" s="2193"/>
      <c r="H25" s="1607"/>
      <c r="I25" s="2189"/>
      <c r="J25" s="2160"/>
      <c r="K25" s="1617"/>
      <c r="L25" s="2145"/>
      <c r="M25" s="2145"/>
      <c r="N25" s="1597"/>
      <c r="O25" s="2145"/>
      <c r="P25" s="2160"/>
      <c r="Q25" s="1598"/>
      <c r="R25" s="2145"/>
      <c r="S25" s="2145"/>
      <c r="T25" s="1599"/>
      <c r="U25" s="2145"/>
      <c r="V25" s="2160"/>
      <c r="W25" s="1600"/>
      <c r="X25" s="2145"/>
      <c r="Y25" s="2145"/>
      <c r="Z25" s="1519"/>
      <c r="AA25" s="1602"/>
      <c r="AB25" s="2184"/>
      <c r="AC25" s="2184"/>
      <c r="AD25" s="2184"/>
      <c r="AE25" s="2184"/>
      <c r="AF25" s="2184"/>
      <c r="AG25" s="2184"/>
      <c r="AH25" s="2184"/>
      <c r="AI25" s="2185"/>
      <c r="AJ25" s="1581"/>
      <c r="BM25" s="300">
        <v>14</v>
      </c>
    </row>
    <row customHeight="1" ht="14.699999999999998">
      <c r="D26" s="2190"/>
      <c r="E26" s="2186"/>
      <c r="F26" s="2186"/>
      <c r="G26" s="2193"/>
      <c r="H26" s="1607"/>
      <c r="I26" s="2189"/>
      <c r="J26" s="2160"/>
      <c r="K26" s="1617"/>
      <c r="L26" s="2145"/>
      <c r="M26" s="2145"/>
      <c r="N26" s="1597"/>
      <c r="O26" s="2145"/>
      <c r="P26" s="2160"/>
      <c r="Q26" s="1598"/>
      <c r="R26" s="2145"/>
      <c r="S26" s="2145"/>
      <c r="T26" s="1603"/>
      <c r="U26" s="1604"/>
      <c r="V26" s="2184"/>
      <c r="W26" s="2184"/>
      <c r="X26" s="2184"/>
      <c r="Y26" s="2184"/>
      <c r="Z26" s="2184"/>
      <c r="AA26" s="2184"/>
      <c r="AB26" s="2184"/>
      <c r="AC26" s="2184"/>
      <c r="AD26" s="2184"/>
      <c r="AE26" s="2184"/>
      <c r="AF26" s="2184"/>
      <c r="AG26" s="2184"/>
      <c r="AH26" s="2184"/>
      <c r="AI26" s="2185"/>
      <c r="AJ26" s="1581"/>
      <c r="BM26" s="300">
        <v>14</v>
      </c>
    </row>
    <row customHeight="1" ht="11.549999999999999">
      <c r="D27" s="2190"/>
      <c r="E27" s="2186"/>
      <c r="F27" s="2186"/>
      <c r="G27" s="2193"/>
      <c r="H27" s="1608"/>
      <c r="I27" s="2189"/>
      <c r="J27" s="2160"/>
      <c r="K27" s="1617"/>
      <c r="L27" s="2145"/>
      <c r="M27" s="2145"/>
      <c r="N27" s="1602"/>
      <c r="O27" s="1602"/>
      <c r="P27" s="2184"/>
      <c r="Q27" s="2184"/>
      <c r="R27" s="2184"/>
      <c r="S27" s="2184"/>
      <c r="T27" s="2184"/>
      <c r="U27" s="2184"/>
      <c r="V27" s="2184"/>
      <c r="W27" s="2184"/>
      <c r="X27" s="2184"/>
      <c r="Y27" s="2184"/>
      <c r="Z27" s="2184"/>
      <c r="AA27" s="2184"/>
      <c r="AB27" s="2184"/>
      <c r="AC27" s="2184"/>
      <c r="AD27" s="2184"/>
      <c r="AE27" s="2184"/>
      <c r="AF27" s="2184"/>
      <c r="AG27" s="2184"/>
      <c r="AH27" s="2184"/>
      <c r="AI27" s="2185"/>
      <c r="AJ27" s="1581"/>
      <c r="BM27" s="300">
        <v>11</v>
      </c>
    </row>
    <row s="1561" customFormat="1" customHeight="1" ht="11.549999999999999">
      <c r="D28" s="2196"/>
      <c r="E28" s="2197"/>
      <c r="F28" s="2187"/>
      <c r="G28" s="2119"/>
      <c r="H28" s="1605"/>
      <c r="I28" s="1609"/>
      <c r="J28" s="2194"/>
      <c r="K28" s="2194"/>
      <c r="L28" s="2194"/>
      <c r="M28" s="2194"/>
      <c r="N28" s="2194"/>
      <c r="O28" s="2194"/>
      <c r="P28" s="2194"/>
      <c r="Q28" s="2194"/>
      <c r="R28" s="2194"/>
      <c r="S28" s="2194"/>
      <c r="T28" s="2194"/>
      <c r="U28" s="2194"/>
      <c r="V28" s="2194"/>
      <c r="W28" s="2194"/>
      <c r="X28" s="2194"/>
      <c r="Y28" s="2194"/>
      <c r="Z28" s="2194"/>
      <c r="AA28" s="2194"/>
      <c r="AB28" s="2194"/>
      <c r="AC28" s="2194"/>
      <c r="AD28" s="2194"/>
      <c r="AE28" s="2194"/>
      <c r="AF28" s="2194"/>
      <c r="AG28" s="2194"/>
      <c r="AH28" s="2194"/>
      <c r="AI28" s="2195"/>
      <c r="AJ28" s="1581"/>
      <c r="AK28" s="313"/>
      <c r="AL28" s="1581"/>
      <c r="AM28" s="1581"/>
      <c r="AN28" s="1581"/>
      <c r="AO28" s="1581"/>
      <c r="AP28" s="1581"/>
      <c r="AQ28" s="1581"/>
      <c r="AR28" s="1581"/>
      <c r="AS28" s="1581"/>
      <c r="AT28" s="1581"/>
      <c r="AU28" s="1581"/>
      <c r="AV28" s="1581"/>
      <c r="AW28" s="1581"/>
      <c r="AX28" s="1581"/>
      <c r="AY28" s="1581"/>
      <c r="AZ28" s="1581"/>
      <c r="BA28" s="1581"/>
      <c r="BB28" s="1581"/>
      <c r="BC28" s="1581"/>
      <c r="BD28" s="1581"/>
      <c r="BE28" s="1581"/>
      <c r="BF28" s="1581"/>
      <c r="BG28" s="1581"/>
      <c r="BH28" s="1581"/>
      <c r="BI28" s="1581"/>
      <c r="BJ28" s="1581"/>
      <c r="BK28" s="1581"/>
      <c r="BL28" s="1581"/>
      <c r="BM28" s="1561">
        <v>11</v>
      </c>
    </row>
    <row customHeight="1" ht="15">
      <c r="D29" s="2190" t="s">
        <v>91</v>
      </c>
      <c r="E29" s="2186" t="s">
        <v>456</v>
      </c>
      <c r="F29" s="2186" t="s">
        <v>460</v>
      </c>
      <c r="G29" s="2192" t="s">
        <v>19</v>
      </c>
      <c r="H29" s="1606"/>
      <c r="I29" s="2188"/>
      <c r="J29" s="2159"/>
      <c r="K29" s="1521"/>
      <c r="L29" s="2144"/>
      <c r="M29" s="2144"/>
      <c r="N29" s="1591"/>
      <c r="O29" s="2144"/>
      <c r="P29" s="2159"/>
      <c r="Q29" s="1592"/>
      <c r="R29" s="2144"/>
      <c r="S29" s="2144"/>
      <c r="T29" s="1593"/>
      <c r="U29" s="2144"/>
      <c r="V29" s="2159"/>
      <c r="W29" s="1594"/>
      <c r="X29" s="2144"/>
      <c r="Y29" s="2144"/>
      <c r="Z29" s="1591"/>
      <c r="AA29" s="2144"/>
      <c r="AB29" s="2159"/>
      <c r="AC29" s="1595"/>
      <c r="AD29" s="2144"/>
      <c r="AE29" s="2144"/>
      <c r="AF29" s="1520"/>
      <c r="AG29" s="1520"/>
      <c r="AH29" s="1596"/>
      <c r="AI29" s="1303"/>
      <c r="AJ29" s="1581"/>
      <c r="BM29" s="300">
        <v>14</v>
      </c>
    </row>
    <row customHeight="1" ht="14.699999999999998">
      <c r="D30" s="2190"/>
      <c r="E30" s="2186"/>
      <c r="F30" s="2186"/>
      <c r="G30" s="2193"/>
      <c r="H30" s="1607"/>
      <c r="I30" s="2189"/>
      <c r="J30" s="2160"/>
      <c r="K30" s="1590"/>
      <c r="L30" s="2145"/>
      <c r="M30" s="2145"/>
      <c r="N30" s="1597"/>
      <c r="O30" s="2145"/>
      <c r="P30" s="2160"/>
      <c r="Q30" s="1598"/>
      <c r="R30" s="2145"/>
      <c r="S30" s="2145"/>
      <c r="T30" s="1599"/>
      <c r="U30" s="2145"/>
      <c r="V30" s="2160"/>
      <c r="W30" s="1600"/>
      <c r="X30" s="2145"/>
      <c r="Y30" s="2145"/>
      <c r="Z30" s="1597"/>
      <c r="AA30" s="2145"/>
      <c r="AB30" s="2160"/>
      <c r="AC30" s="1601"/>
      <c r="AD30" s="2145"/>
      <c r="AE30" s="2145"/>
      <c r="AF30" s="1602"/>
      <c r="AG30" s="1602"/>
      <c r="AH30" s="2184"/>
      <c r="AI30" s="2185"/>
      <c r="AJ30" s="1581"/>
      <c r="BM30" s="300">
        <v>14</v>
      </c>
    </row>
    <row customHeight="1" ht="14.699999999999998">
      <c r="D31" s="2190"/>
      <c r="E31" s="2186"/>
      <c r="F31" s="2186"/>
      <c r="G31" s="2193"/>
      <c r="H31" s="1607"/>
      <c r="I31" s="2189"/>
      <c r="J31" s="2160"/>
      <c r="K31" s="1590"/>
      <c r="L31" s="2145"/>
      <c r="M31" s="2145"/>
      <c r="N31" s="1597"/>
      <c r="O31" s="2145"/>
      <c r="P31" s="2160"/>
      <c r="Q31" s="1598"/>
      <c r="R31" s="2145"/>
      <c r="S31" s="2145"/>
      <c r="T31" s="1599"/>
      <c r="U31" s="2145"/>
      <c r="V31" s="2160"/>
      <c r="W31" s="1600"/>
      <c r="X31" s="2145"/>
      <c r="Y31" s="2145"/>
      <c r="Z31" s="1519"/>
      <c r="AA31" s="1602"/>
      <c r="AB31" s="2184"/>
      <c r="AC31" s="2184"/>
      <c r="AD31" s="2184"/>
      <c r="AE31" s="2184"/>
      <c r="AF31" s="2184"/>
      <c r="AG31" s="2184"/>
      <c r="AH31" s="2184"/>
      <c r="AI31" s="2185"/>
      <c r="AJ31" s="1581"/>
      <c r="BM31" s="300">
        <v>14</v>
      </c>
    </row>
    <row customHeight="1" ht="14.699999999999998">
      <c r="D32" s="2190"/>
      <c r="E32" s="2186"/>
      <c r="F32" s="2186"/>
      <c r="G32" s="2193"/>
      <c r="H32" s="1607"/>
      <c r="I32" s="2189"/>
      <c r="J32" s="2160"/>
      <c r="K32" s="1590"/>
      <c r="L32" s="2145"/>
      <c r="M32" s="2145"/>
      <c r="N32" s="1597"/>
      <c r="O32" s="2145"/>
      <c r="P32" s="2160"/>
      <c r="Q32" s="1598"/>
      <c r="R32" s="2145"/>
      <c r="S32" s="2145"/>
      <c r="T32" s="1603"/>
      <c r="U32" s="1604"/>
      <c r="V32" s="2184"/>
      <c r="W32" s="2184"/>
      <c r="X32" s="2184"/>
      <c r="Y32" s="2184"/>
      <c r="Z32" s="2184"/>
      <c r="AA32" s="2184"/>
      <c r="AB32" s="2184"/>
      <c r="AC32" s="2184"/>
      <c r="AD32" s="2184"/>
      <c r="AE32" s="2184"/>
      <c r="AF32" s="2184"/>
      <c r="AG32" s="2184"/>
      <c r="AH32" s="2184"/>
      <c r="AI32" s="2185"/>
      <c r="AJ32" s="1581"/>
      <c r="BM32" s="300">
        <v>14</v>
      </c>
    </row>
    <row customHeight="1" ht="11.549999999999999">
      <c r="D33" s="2190"/>
      <c r="E33" s="2186"/>
      <c r="F33" s="2186"/>
      <c r="G33" s="2193"/>
      <c r="H33" s="1608"/>
      <c r="I33" s="2189"/>
      <c r="J33" s="2160"/>
      <c r="K33" s="1590"/>
      <c r="L33" s="2145"/>
      <c r="M33" s="2145"/>
      <c r="N33" s="1602"/>
      <c r="O33" s="1602"/>
      <c r="P33" s="2184"/>
      <c r="Q33" s="2184"/>
      <c r="R33" s="2184"/>
      <c r="S33" s="2184"/>
      <c r="T33" s="2184"/>
      <c r="U33" s="2184"/>
      <c r="V33" s="2184"/>
      <c r="W33" s="2184"/>
      <c r="X33" s="2184"/>
      <c r="Y33" s="2184"/>
      <c r="Z33" s="2184"/>
      <c r="AA33" s="2184"/>
      <c r="AB33" s="2184"/>
      <c r="AC33" s="2184"/>
      <c r="AD33" s="2184"/>
      <c r="AE33" s="2184"/>
      <c r="AF33" s="2184"/>
      <c r="AG33" s="2184"/>
      <c r="AH33" s="2184"/>
      <c r="AI33" s="2185"/>
      <c r="AJ33" s="1581"/>
      <c r="BM33" s="300">
        <v>11</v>
      </c>
    </row>
    <row s="1561" customFormat="1" customHeight="1" ht="11.549999999999999">
      <c r="D34" s="2196"/>
      <c r="E34" s="2197"/>
      <c r="F34" s="2187"/>
      <c r="G34" s="2119"/>
      <c r="H34" s="1605"/>
      <c r="I34" s="1609"/>
      <c r="J34" s="2194"/>
      <c r="K34" s="2194"/>
      <c r="L34" s="2194"/>
      <c r="M34" s="2194"/>
      <c r="N34" s="2194"/>
      <c r="O34" s="2194"/>
      <c r="P34" s="2194"/>
      <c r="Q34" s="2194"/>
      <c r="R34" s="2194"/>
      <c r="S34" s="2194"/>
      <c r="T34" s="2194"/>
      <c r="U34" s="2194"/>
      <c r="V34" s="2194"/>
      <c r="W34" s="2194"/>
      <c r="X34" s="2194"/>
      <c r="Y34" s="2194"/>
      <c r="Z34" s="2194"/>
      <c r="AA34" s="2194"/>
      <c r="AB34" s="2194"/>
      <c r="AC34" s="2194"/>
      <c r="AD34" s="2194"/>
      <c r="AE34" s="2194"/>
      <c r="AF34" s="2194"/>
      <c r="AG34" s="2194"/>
      <c r="AH34" s="2194"/>
      <c r="AI34" s="2195"/>
      <c r="AJ34" s="1581"/>
      <c r="AK34" s="313"/>
      <c r="AL34" s="1581"/>
      <c r="AM34" s="1581"/>
      <c r="AN34" s="1581"/>
      <c r="AO34" s="1581"/>
      <c r="AP34" s="1581"/>
      <c r="AQ34" s="1581"/>
      <c r="AR34" s="1581"/>
      <c r="AS34" s="1581"/>
      <c r="AT34" s="1581"/>
      <c r="AU34" s="1581"/>
      <c r="AV34" s="1581"/>
      <c r="AW34" s="1581"/>
      <c r="AX34" s="1581"/>
      <c r="AY34" s="1581"/>
      <c r="AZ34" s="1581"/>
      <c r="BA34" s="1581"/>
      <c r="BB34" s="1581"/>
      <c r="BC34" s="1581"/>
      <c r="BD34" s="1581"/>
      <c r="BE34" s="1581"/>
      <c r="BF34" s="1581"/>
      <c r="BG34" s="1581"/>
      <c r="BH34" s="1581"/>
      <c r="BI34" s="1581"/>
      <c r="BJ34" s="1581"/>
      <c r="BK34" s="1581"/>
      <c r="BL34" s="1581"/>
      <c r="BM34" s="1561">
        <v>11</v>
      </c>
    </row>
    <row customHeight="1" ht="15">
      <c r="D35" s="2190" t="s">
        <v>119</v>
      </c>
      <c r="E35" s="2186" t="s">
        <v>456</v>
      </c>
      <c r="F35" s="2186" t="s">
        <v>461</v>
      </c>
      <c r="G35" s="2192" t="s">
        <v>19</v>
      </c>
      <c r="H35" s="1606"/>
      <c r="I35" s="2188"/>
      <c r="J35" s="2159"/>
      <c r="K35" s="1521"/>
      <c r="L35" s="2144"/>
      <c r="M35" s="2144"/>
      <c r="N35" s="1591"/>
      <c r="O35" s="2144"/>
      <c r="P35" s="2159"/>
      <c r="Q35" s="1592"/>
      <c r="R35" s="2144"/>
      <c r="S35" s="2144"/>
      <c r="T35" s="1593"/>
      <c r="U35" s="2144"/>
      <c r="V35" s="2159"/>
      <c r="W35" s="1594"/>
      <c r="X35" s="2144"/>
      <c r="Y35" s="2144"/>
      <c r="Z35" s="1591"/>
      <c r="AA35" s="2144"/>
      <c r="AB35" s="2159"/>
      <c r="AC35" s="1595"/>
      <c r="AD35" s="2144"/>
      <c r="AE35" s="2144"/>
      <c r="AF35" s="1520"/>
      <c r="AG35" s="1520"/>
      <c r="AH35" s="1596"/>
      <c r="AI35" s="1303"/>
      <c r="AJ35" s="1581"/>
      <c r="BM35" s="300">
        <v>14</v>
      </c>
    </row>
    <row customHeight="1" ht="14.699999999999998">
      <c r="D36" s="2190"/>
      <c r="E36" s="2186"/>
      <c r="F36" s="2186"/>
      <c r="G36" s="2193"/>
      <c r="H36" s="1607"/>
      <c r="I36" s="2189"/>
      <c r="J36" s="2160"/>
      <c r="K36" s="1590"/>
      <c r="L36" s="2145"/>
      <c r="M36" s="2145"/>
      <c r="N36" s="1597"/>
      <c r="O36" s="2145"/>
      <c r="P36" s="2160"/>
      <c r="Q36" s="1598"/>
      <c r="R36" s="2145"/>
      <c r="S36" s="2145"/>
      <c r="T36" s="1599"/>
      <c r="U36" s="2145"/>
      <c r="V36" s="2160"/>
      <c r="W36" s="1600"/>
      <c r="X36" s="2145"/>
      <c r="Y36" s="2145"/>
      <c r="Z36" s="1597"/>
      <c r="AA36" s="2145"/>
      <c r="AB36" s="2160"/>
      <c r="AC36" s="1601"/>
      <c r="AD36" s="2145"/>
      <c r="AE36" s="2145"/>
      <c r="AF36" s="1602"/>
      <c r="AG36" s="1602"/>
      <c r="AH36" s="2184"/>
      <c r="AI36" s="2185"/>
      <c r="AJ36" s="1581"/>
      <c r="BM36" s="300">
        <v>14</v>
      </c>
    </row>
    <row customHeight="1" ht="14.699999999999998">
      <c r="D37" s="2190"/>
      <c r="E37" s="2186"/>
      <c r="F37" s="2186"/>
      <c r="G37" s="2193"/>
      <c r="H37" s="1607"/>
      <c r="I37" s="2189"/>
      <c r="J37" s="2160"/>
      <c r="K37" s="1590"/>
      <c r="L37" s="2145"/>
      <c r="M37" s="2145"/>
      <c r="N37" s="1597"/>
      <c r="O37" s="2145"/>
      <c r="P37" s="2160"/>
      <c r="Q37" s="1598"/>
      <c r="R37" s="2145"/>
      <c r="S37" s="2145"/>
      <c r="T37" s="1599"/>
      <c r="U37" s="2145"/>
      <c r="V37" s="2160"/>
      <c r="W37" s="1600"/>
      <c r="X37" s="2145"/>
      <c r="Y37" s="2145"/>
      <c r="Z37" s="1519"/>
      <c r="AA37" s="1602"/>
      <c r="AB37" s="2184"/>
      <c r="AC37" s="2184"/>
      <c r="AD37" s="2184"/>
      <c r="AE37" s="2184"/>
      <c r="AF37" s="2184"/>
      <c r="AG37" s="2184"/>
      <c r="AH37" s="2184"/>
      <c r="AI37" s="2185"/>
      <c r="AJ37" s="1581"/>
      <c r="BM37" s="300">
        <v>14</v>
      </c>
    </row>
    <row customHeight="1" ht="14.699999999999998">
      <c r="D38" s="2190"/>
      <c r="E38" s="2186"/>
      <c r="F38" s="2186"/>
      <c r="G38" s="2193"/>
      <c r="H38" s="1607"/>
      <c r="I38" s="2189"/>
      <c r="J38" s="2160"/>
      <c r="K38" s="1590"/>
      <c r="L38" s="2145"/>
      <c r="M38" s="2145"/>
      <c r="N38" s="1597"/>
      <c r="O38" s="2145"/>
      <c r="P38" s="2160"/>
      <c r="Q38" s="1598"/>
      <c r="R38" s="2145"/>
      <c r="S38" s="2145"/>
      <c r="T38" s="1603"/>
      <c r="U38" s="1604"/>
      <c r="V38" s="2184"/>
      <c r="W38" s="2184"/>
      <c r="X38" s="2184"/>
      <c r="Y38" s="2184"/>
      <c r="Z38" s="2184"/>
      <c r="AA38" s="2184"/>
      <c r="AB38" s="2184"/>
      <c r="AC38" s="2184"/>
      <c r="AD38" s="2184"/>
      <c r="AE38" s="2184"/>
      <c r="AF38" s="2184"/>
      <c r="AG38" s="2184"/>
      <c r="AH38" s="2184"/>
      <c r="AI38" s="2185"/>
      <c r="AJ38" s="1581"/>
      <c r="BM38" s="300">
        <v>14</v>
      </c>
    </row>
    <row customHeight="1" ht="11.549999999999999">
      <c r="D39" s="2190"/>
      <c r="E39" s="2186"/>
      <c r="F39" s="2186"/>
      <c r="G39" s="2193"/>
      <c r="H39" s="1608"/>
      <c r="I39" s="2189"/>
      <c r="J39" s="2160"/>
      <c r="K39" s="1590"/>
      <c r="L39" s="2145"/>
      <c r="M39" s="2145"/>
      <c r="N39" s="1602"/>
      <c r="O39" s="1602"/>
      <c r="P39" s="2184"/>
      <c r="Q39" s="2184"/>
      <c r="R39" s="2184"/>
      <c r="S39" s="2184"/>
      <c r="T39" s="2184"/>
      <c r="U39" s="2184"/>
      <c r="V39" s="2184"/>
      <c r="W39" s="2184"/>
      <c r="X39" s="2184"/>
      <c r="Y39" s="2184"/>
      <c r="Z39" s="2184"/>
      <c r="AA39" s="2184"/>
      <c r="AB39" s="2184"/>
      <c r="AC39" s="2184"/>
      <c r="AD39" s="2184"/>
      <c r="AE39" s="2184"/>
      <c r="AF39" s="2184"/>
      <c r="AG39" s="2184"/>
      <c r="AH39" s="2184"/>
      <c r="AI39" s="2185"/>
      <c r="AJ39" s="1581"/>
      <c r="BM39" s="300">
        <v>11</v>
      </c>
    </row>
    <row s="1561" customFormat="1" customHeight="1" ht="11.549999999999999">
      <c r="D40" s="2190"/>
      <c r="E40" s="2186"/>
      <c r="F40" s="2191"/>
      <c r="G40" s="2119"/>
      <c r="H40" s="1605"/>
      <c r="I40" s="1609"/>
      <c r="J40" s="2194"/>
      <c r="K40" s="2194"/>
      <c r="L40" s="2194"/>
      <c r="M40" s="2194"/>
      <c r="N40" s="2194"/>
      <c r="O40" s="2194"/>
      <c r="P40" s="2194"/>
      <c r="Q40" s="2194"/>
      <c r="R40" s="2194"/>
      <c r="S40" s="2194"/>
      <c r="T40" s="2194"/>
      <c r="U40" s="2194"/>
      <c r="V40" s="2194"/>
      <c r="W40" s="2194"/>
      <c r="X40" s="2194"/>
      <c r="Y40" s="2194"/>
      <c r="Z40" s="2194"/>
      <c r="AA40" s="2194"/>
      <c r="AB40" s="2194"/>
      <c r="AC40" s="2194"/>
      <c r="AD40" s="2194"/>
      <c r="AE40" s="2194"/>
      <c r="AF40" s="2194"/>
      <c r="AG40" s="2194"/>
      <c r="AH40" s="2194"/>
      <c r="AI40" s="2195"/>
      <c r="AJ40" s="1581"/>
      <c r="AK40" s="313"/>
      <c r="AL40" s="1581"/>
      <c r="AM40" s="1581"/>
      <c r="AN40" s="1581"/>
      <c r="AO40" s="1581"/>
      <c r="AP40" s="1581"/>
      <c r="AQ40" s="1581"/>
      <c r="AR40" s="1581"/>
      <c r="AS40" s="1581"/>
      <c r="AT40" s="1581"/>
      <c r="AU40" s="1581"/>
      <c r="AV40" s="1581"/>
      <c r="AW40" s="1581"/>
      <c r="AX40" s="1581"/>
      <c r="AY40" s="1581"/>
      <c r="AZ40" s="1581"/>
      <c r="BA40" s="1581"/>
      <c r="BB40" s="1581"/>
      <c r="BC40" s="1581"/>
      <c r="BD40" s="1581"/>
      <c r="BE40" s="1581"/>
      <c r="BF40" s="1581"/>
      <c r="BG40" s="1581"/>
      <c r="BH40" s="1581"/>
      <c r="BI40" s="1581"/>
      <c r="BJ40" s="1581"/>
      <c r="BK40" s="1581"/>
      <c r="BL40" s="1581"/>
      <c r="BM40" s="1561">
        <v>11</v>
      </c>
    </row>
    <row customHeight="1" ht="11.549999999999999">
      <c r="AK41" s="430"/>
      <c r="BM41" s="300">
        <v>11</v>
      </c>
    </row>
    <row customHeight="1" ht="11.549999999999999">
      <c r="AK42" s="430"/>
      <c r="BM42" s="300">
        <v>11</v>
      </c>
    </row>
    <row customHeight="1" ht="11.549999999999999">
      <c r="AK43" s="430"/>
      <c r="BM43" s="300">
        <v>11</v>
      </c>
    </row>
    <row customHeight="1" ht="11.549999999999999">
      <c r="AK44" s="430"/>
      <c r="BM44" s="300">
        <v>11</v>
      </c>
    </row>
    <row customHeight="1" ht="11.549999999999999">
      <c r="AK45" s="430"/>
      <c r="BM45" s="300">
        <v>11</v>
      </c>
    </row>
    <row customHeight="1" ht="11.549999999999999">
      <c r="AK46" s="430"/>
      <c r="BM46" s="300">
        <v>11</v>
      </c>
    </row>
    <row customHeight="1" ht="11.549999999999999">
      <c r="AK47" s="430"/>
      <c r="BM47" s="300">
        <v>11</v>
      </c>
    </row>
    <row customHeight="1" ht="11.549999999999999">
      <c r="AK48" s="430"/>
      <c r="BM48" s="300">
        <v>11</v>
      </c>
    </row>
    <row customHeight="1" ht="11.549999999999999">
      <c r="AK49" s="430"/>
      <c r="BM49" s="300">
        <v>11</v>
      </c>
    </row>
    <row customHeight="1" ht="11.25" hidden="1">
      <c r="A50" s="300" t="s">
        <v>82</v>
      </c>
      <c r="B50" s="300">
        <v>0</v>
      </c>
      <c r="C50" s="300">
        <v>3</v>
      </c>
      <c r="D50" s="300">
        <v>3</v>
      </c>
      <c r="E50" s="300">
        <v>15</v>
      </c>
      <c r="F50" s="300">
        <v>15</v>
      </c>
      <c r="G50" s="300">
        <v>11</v>
      </c>
      <c r="H50" s="300">
        <v>3</v>
      </c>
      <c r="I50" s="300">
        <v>3</v>
      </c>
      <c r="J50" s="300">
        <v>12</v>
      </c>
      <c r="K50" s="300">
        <v>0</v>
      </c>
      <c r="L50" s="300">
        <v>10</v>
      </c>
      <c r="M50" s="300">
        <v>10</v>
      </c>
      <c r="N50" s="300">
        <v>3</v>
      </c>
      <c r="O50" s="300">
        <v>3</v>
      </c>
      <c r="P50" s="300">
        <v>19</v>
      </c>
      <c r="Q50" s="300">
        <v>0</v>
      </c>
      <c r="R50" s="300">
        <v>10</v>
      </c>
      <c r="S50" s="300">
        <v>10</v>
      </c>
      <c r="T50" s="300">
        <v>3</v>
      </c>
      <c r="U50" s="300">
        <v>3</v>
      </c>
      <c r="V50" s="300">
        <v>25</v>
      </c>
      <c r="W50" s="300">
        <v>0</v>
      </c>
      <c r="X50" s="300">
        <v>10</v>
      </c>
      <c r="Y50" s="300">
        <v>10</v>
      </c>
      <c r="Z50" s="300">
        <v>3</v>
      </c>
      <c r="AA50" s="300">
        <v>3</v>
      </c>
      <c r="AB50" s="300">
        <v>16</v>
      </c>
      <c r="AC50" s="300">
        <v>0</v>
      </c>
      <c r="AD50" s="300">
        <v>10</v>
      </c>
      <c r="AE50" s="300">
        <v>10</v>
      </c>
      <c r="AF50" s="300">
        <v>3</v>
      </c>
      <c r="AG50" s="300">
        <v>3</v>
      </c>
      <c r="AH50" s="300">
        <v>8</v>
      </c>
      <c r="AI50" s="300">
        <v>21</v>
      </c>
      <c r="AJ50" s="430">
        <v>8</v>
      </c>
      <c r="AK50" s="313">
        <v>8</v>
      </c>
      <c r="AL50" s="430">
        <v>8</v>
      </c>
      <c r="AM50" s="430">
        <v>8</v>
      </c>
      <c r="AN50" s="430">
        <v>8</v>
      </c>
      <c r="AO50" s="430">
        <v>8</v>
      </c>
      <c r="AP50" s="430">
        <v>8</v>
      </c>
      <c r="AQ50" s="430">
        <v>8</v>
      </c>
      <c r="AR50" s="430">
        <v>8</v>
      </c>
      <c r="AS50" s="430">
        <v>8</v>
      </c>
      <c r="AT50" s="430">
        <v>8</v>
      </c>
      <c r="AU50" s="430">
        <v>8</v>
      </c>
      <c r="AV50" s="430">
        <v>8</v>
      </c>
      <c r="AW50" s="430">
        <v>8</v>
      </c>
      <c r="AX50" s="430">
        <v>8</v>
      </c>
      <c r="AY50" s="430">
        <v>8</v>
      </c>
      <c r="AZ50" s="430">
        <v>8</v>
      </c>
      <c r="BA50" s="430">
        <v>8</v>
      </c>
      <c r="BB50" s="430">
        <v>8</v>
      </c>
      <c r="BC50" s="430">
        <v>8</v>
      </c>
      <c r="BD50" s="430">
        <v>8</v>
      </c>
      <c r="BE50" s="430">
        <v>8</v>
      </c>
      <c r="BF50" s="430">
        <v>8</v>
      </c>
      <c r="BG50" s="430">
        <v>8</v>
      </c>
      <c r="BH50" s="430">
        <v>8</v>
      </c>
      <c r="BI50" s="430">
        <v>8</v>
      </c>
      <c r="BJ50" s="430">
        <v>8</v>
      </c>
      <c r="BK50" s="430">
        <v>8</v>
      </c>
      <c r="BL50" s="430">
        <v>8</v>
      </c>
      <c r="BM50" s="300">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385D51-E3AD-22E9-D752-612DA6E71804}"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93" width="15.00390625" hidden="1" customWidth="1"/>
    <col min="2" max="2" style="508" width="15.00390625" hidden="1" customWidth="1"/>
    <col min="3" max="3" style="462" width="3.00390625" customWidth="1"/>
    <col min="4" max="4" style="463" width="6.00390625" customWidth="1"/>
    <col min="5" max="5" style="462" width="52.00390625" customWidth="1"/>
    <col min="6" max="6" style="462" width="48.00390625" customWidth="1"/>
    <col min="7" max="7" style="462" width="121.00390625" customWidth="1"/>
    <col min="8" max="8" style="462" width="8.00390625" customWidth="1"/>
    <col min="9" max="9" style="462" width="64.00390625" customWidth="1"/>
    <col min="10" max="10" style="462" width="9.140625" hidden="1"/>
  </cols>
  <sheetData>
    <row customHeight="1" ht="11.25" hidden="1">
      <c r="A1" s="1693" t="s">
        <v>462</v>
      </c>
      <c r="J1" s="462" t="s">
        <v>14</v>
      </c>
    </row>
    <row customHeight="1" ht="11.25" hidden="1">
      <c r="J2" s="462">
        <v>0</v>
      </c>
    </row>
    <row s="484" customFormat="1" customHeight="1" ht="11.549999999999999">
      <c r="A3" s="1693"/>
      <c r="B3" s="508"/>
      <c r="D3" s="485"/>
      <c r="J3" s="484">
        <v>11</v>
      </c>
    </row>
    <row customHeight="1" ht="27.299999999999997">
      <c r="D4" s="2164" t="str">
        <f>ORG_INFO_NAME_FORM</f>
        <v>Форма 1. Информация об организации, осуществляющей холодное водоснабжение (общая информация)</v>
      </c>
      <c r="E4" s="2165"/>
      <c r="F4" s="2166"/>
      <c r="I4" s="722"/>
      <c r="J4" s="462">
        <v>26</v>
      </c>
    </row>
    <row customHeight="1" ht="18">
      <c r="D5" s="2183" t="str">
        <f>IF(org=0,"Не определено",org)</f>
        <v>ГУП "Белоблводоканал"</v>
      </c>
      <c r="E5" s="2183"/>
      <c r="F5" s="2183"/>
      <c r="I5" s="722"/>
      <c r="J5" s="462">
        <v>17</v>
      </c>
    </row>
    <row s="484" customFormat="1" customHeight="1" ht="11.549999999999999">
      <c r="A6" s="1693"/>
      <c r="B6" s="508"/>
      <c r="D6" s="721"/>
      <c r="E6" s="721"/>
      <c r="F6" s="759"/>
      <c r="G6" s="721"/>
      <c r="J6" s="484">
        <v>11</v>
      </c>
    </row>
    <row customHeight="1" ht="11.25" hidden="1">
      <c r="A7" s="464"/>
      <c r="B7" s="509"/>
      <c r="C7" s="464"/>
      <c r="D7" s="470"/>
      <c r="E7" s="2214"/>
      <c r="F7" s="2214"/>
      <c r="J7" s="462">
        <v>0</v>
      </c>
    </row>
    <row customHeight="1" ht="11.549999999999999">
      <c r="A8" s="464"/>
      <c r="B8" s="509"/>
      <c r="C8" s="464"/>
      <c r="D8" s="2211" t="s">
        <v>463</v>
      </c>
      <c r="E8" s="2212"/>
      <c r="F8" s="2212"/>
      <c r="G8" s="2215" t="s">
        <v>464</v>
      </c>
      <c r="J8" s="462">
        <v>11</v>
      </c>
    </row>
    <row customHeight="1" ht="11.549999999999999">
      <c r="A9" s="464"/>
      <c r="B9" s="509"/>
      <c r="C9" s="464"/>
      <c r="D9" s="479" t="s">
        <v>88</v>
      </c>
      <c r="E9" s="453" t="s">
        <v>465</v>
      </c>
      <c r="F9" s="453" t="s">
        <v>466</v>
      </c>
      <c r="G9" s="2216"/>
      <c r="J9" s="462">
        <v>11</v>
      </c>
    </row>
    <row customHeight="1" ht="12" hidden="1">
      <c r="A10" s="464"/>
      <c r="B10" s="509"/>
      <c r="C10" s="464"/>
      <c r="D10" s="471"/>
      <c r="E10" s="471"/>
      <c r="F10" s="471"/>
      <c r="G10" s="471"/>
      <c r="J10" s="462">
        <v>0</v>
      </c>
    </row>
    <row customHeight="1" ht="22.5" hidden="1">
      <c r="A11" s="464"/>
      <c r="B11" s="509"/>
      <c r="C11" s="464"/>
      <c r="D11" s="1016" t="s">
        <v>108</v>
      </c>
      <c r="E11" s="1019" t="s">
        <v>467</v>
      </c>
      <c r="F11" s="1018" t="str">
        <f>IF(region_name="","",region_name)</f>
        <v>Белгородская область</v>
      </c>
      <c r="G11" s="1019" t="s">
        <v>468</v>
      </c>
      <c r="H11" s="482"/>
      <c r="J11" s="462">
        <v>0</v>
      </c>
    </row>
    <row customHeight="1" ht="22.5" hidden="1">
      <c r="A12" s="464"/>
      <c r="B12" s="509"/>
      <c r="C12" s="464"/>
      <c r="D12" s="452" t="s">
        <v>108</v>
      </c>
      <c r="E12" s="45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50" t="s">
        <v>469</v>
      </c>
      <c r="G12" s="481"/>
      <c r="H12" s="482"/>
      <c r="J12" s="462">
        <v>0</v>
      </c>
    </row>
    <row customHeight="1" ht="23.25">
      <c r="A13" s="464"/>
      <c r="B13" s="509"/>
      <c r="C13" s="464"/>
      <c r="D13" s="452" t="s">
        <v>108</v>
      </c>
      <c r="E13" s="449" t="str">
        <f>"Наименование юридического лица"&amp;IF(TEMPLATE_SPHERE="TKO"," (индивидуального предпринимателя)","")</f>
        <v>Наименование юридического лица</v>
      </c>
      <c r="F13" s="448"/>
      <c r="G13" s="45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82"/>
      <c r="J13" s="462">
        <v>22</v>
      </c>
    </row>
    <row customHeight="1" ht="22.5" hidden="1">
      <c r="A14" s="464"/>
      <c r="B14" s="509"/>
      <c r="C14" s="464"/>
      <c r="D14" s="1016" t="s">
        <v>470</v>
      </c>
      <c r="E14" s="1017" t="s">
        <v>471</v>
      </c>
      <c r="F14" s="1018" t="str">
        <f>IF(inn="","",inn)</f>
        <v>3123460476</v>
      </c>
      <c r="G14" s="1019" t="s">
        <v>472</v>
      </c>
      <c r="H14" s="482"/>
      <c r="J14" s="462">
        <v>0</v>
      </c>
    </row>
    <row customHeight="1" ht="22.5" hidden="1">
      <c r="A15" s="464"/>
      <c r="B15" s="509"/>
      <c r="C15" s="464"/>
      <c r="D15" s="1016" t="s">
        <v>473</v>
      </c>
      <c r="E15" s="1017" t="s">
        <v>474</v>
      </c>
      <c r="F15" s="1018" t="str">
        <f>IF(kpp="","",kpp)</f>
        <v>312301001</v>
      </c>
      <c r="G15" s="1019" t="s">
        <v>475</v>
      </c>
      <c r="H15" s="482"/>
      <c r="J15" s="462">
        <v>0</v>
      </c>
    </row>
    <row customHeight="1" ht="39">
      <c r="A16" s="464"/>
      <c r="B16" s="509"/>
      <c r="C16" s="464"/>
      <c r="D16" s="452" t="s">
        <v>99</v>
      </c>
      <c r="E16" s="449"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8"/>
      <c r="G16" s="45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2"/>
      <c r="J16" s="462">
        <v>37</v>
      </c>
    </row>
    <row customHeight="1" ht="23.25">
      <c r="A17" s="464"/>
      <c r="B17" s="509"/>
      <c r="C17" s="464"/>
      <c r="D17" s="452" t="s">
        <v>90</v>
      </c>
      <c r="E17" s="449" t="str">
        <f>"Дата присвоения ОГРН"&amp;IF(TEMPLATE_SPHERE="TKO",""," (ОГРНИП)")</f>
        <v>Дата присвоения ОГРН (ОГРНИП)</v>
      </c>
      <c r="F17" s="1739" t="s">
        <v>28</v>
      </c>
      <c r="G17" s="451" t="str">
        <f>"Дата присвоения ОГРН"&amp;IF(TEMPLATE_SPHERE="TKO",""," (ОГРНИП)")&amp;" указывается в виде «ДД.ММ.ГГГГ»."</f>
        <v>Дата присвоения ОГРН (ОГРНИП) указывается в виде «ДД.ММ.ГГГГ».</v>
      </c>
      <c r="H17" s="482"/>
      <c r="J17" s="462">
        <v>22</v>
      </c>
    </row>
    <row customHeight="1" ht="71.25">
      <c r="A18" s="464"/>
      <c r="B18" s="509"/>
      <c r="C18" s="464"/>
      <c r="D18" s="452" t="s">
        <v>91</v>
      </c>
      <c r="E18" s="449"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8"/>
      <c r="G18" s="481"/>
      <c r="H18" s="482"/>
      <c r="J18" s="462">
        <v>68</v>
      </c>
    </row>
    <row customHeight="1" ht="22.5" hidden="1">
      <c r="A19" s="2209" t="s">
        <v>476</v>
      </c>
      <c r="B19" s="509"/>
      <c r="C19" s="2220"/>
      <c r="D19" s="452" t="str">
        <f>A19</f>
        <v>5.1</v>
      </c>
      <c r="E19" s="449" t="s">
        <v>477</v>
      </c>
      <c r="F19" s="450" t="s">
        <v>469</v>
      </c>
      <c r="G19" s="451" t="s">
        <v>478</v>
      </c>
      <c r="H19" s="482"/>
      <c r="I19" s="859"/>
      <c r="J19" s="462">
        <v>0</v>
      </c>
    </row>
    <row customHeight="1" ht="24" hidden="1">
      <c r="A20" s="2209"/>
      <c r="B20" s="509"/>
      <c r="C20" s="2220"/>
      <c r="D20" s="447" t="str">
        <f>D19&amp;".1"</f>
        <v>5.1.1</v>
      </c>
      <c r="E20" s="446" t="s">
        <v>479</v>
      </c>
      <c r="F20" s="888" t="s">
        <v>28</v>
      </c>
      <c r="G20" s="481"/>
      <c r="H20" s="482"/>
      <c r="I20" s="859"/>
      <c r="J20" s="462">
        <v>0</v>
      </c>
    </row>
    <row customHeight="1" ht="22.5" hidden="1">
      <c r="A21" s="2209"/>
      <c r="B21" s="509"/>
      <c r="C21" s="2220"/>
      <c r="D21" s="447" t="str">
        <f>D19&amp;".2"</f>
        <v>5.1.2</v>
      </c>
      <c r="E21" s="446" t="s">
        <v>480</v>
      </c>
      <c r="F21" s="1740" t="s">
        <v>28</v>
      </c>
      <c r="G21" s="451" t="s">
        <v>481</v>
      </c>
      <c r="H21" s="482"/>
      <c r="I21" s="859"/>
      <c r="J21" s="462">
        <v>0</v>
      </c>
    </row>
    <row customHeight="1" ht="22.5" hidden="1">
      <c r="A22" s="2209"/>
      <c r="B22" s="509"/>
      <c r="C22" s="2220"/>
      <c r="D22" s="447" t="str">
        <f>D19&amp;".3"</f>
        <v>5.1.3</v>
      </c>
      <c r="E22" s="446" t="s">
        <v>482</v>
      </c>
      <c r="F22" s="888" t="s">
        <v>28</v>
      </c>
      <c r="G22" s="481"/>
      <c r="H22" s="482"/>
      <c r="I22" s="859"/>
      <c r="J22" s="462">
        <v>0</v>
      </c>
    </row>
    <row customHeight="1" ht="22.5" hidden="1">
      <c r="A23" s="2209"/>
      <c r="B23" s="509"/>
      <c r="C23" s="2220"/>
      <c r="D23" s="447" t="str">
        <f>D19&amp;".4"</f>
        <v>5.1.4</v>
      </c>
      <c r="E23" s="446" t="s">
        <v>483</v>
      </c>
      <c r="F23" s="888" t="s">
        <v>28</v>
      </c>
      <c r="G23" s="451" t="s">
        <v>484</v>
      </c>
      <c r="H23" s="482"/>
      <c r="I23" s="859"/>
      <c r="J23" s="462">
        <v>0</v>
      </c>
    </row>
    <row customHeight="1" ht="22.5" hidden="1">
      <c r="A24" s="1985"/>
      <c r="B24" s="509"/>
      <c r="C24" s="499"/>
      <c r="D24" s="474"/>
      <c r="E24" s="1175" t="s">
        <v>485</v>
      </c>
      <c r="F24" s="475"/>
      <c r="G24" s="476"/>
      <c r="H24" s="482"/>
      <c r="I24" s="859"/>
      <c r="J24" s="462">
        <v>0</v>
      </c>
    </row>
    <row s="508" customFormat="1" customHeight="1" ht="24.75" hidden="1">
      <c r="A25" s="464"/>
      <c r="B25" s="509"/>
      <c r="C25" s="509"/>
      <c r="D25" s="1013" t="s">
        <v>90</v>
      </c>
      <c r="E25" s="1015" t="s">
        <v>486</v>
      </c>
      <c r="F25" s="1020" t="s">
        <v>469</v>
      </c>
      <c r="G25" s="1015"/>
      <c r="J25" s="508">
        <v>0</v>
      </c>
    </row>
    <row s="508" customFormat="1" customHeight="1" ht="11.25" hidden="1">
      <c r="A26" s="464"/>
      <c r="B26" s="509"/>
      <c r="C26" s="509"/>
      <c r="D26" s="1013" t="s">
        <v>487</v>
      </c>
      <c r="E26" s="1014" t="s">
        <v>488</v>
      </c>
      <c r="F26" s="1020" t="s">
        <v>469</v>
      </c>
      <c r="G26" s="1015"/>
      <c r="J26" s="508">
        <v>0</v>
      </c>
    </row>
    <row s="508" customFormat="1" customHeight="1" ht="11.25" hidden="1">
      <c r="A27" s="464"/>
      <c r="B27" s="509"/>
      <c r="C27" s="509"/>
      <c r="D27" s="1013" t="s">
        <v>489</v>
      </c>
      <c r="E27" s="1021" t="s">
        <v>490</v>
      </c>
      <c r="F27" s="1022"/>
      <c r="G27" s="1015"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8">
        <v>0</v>
      </c>
    </row>
    <row s="508" customFormat="1" customHeight="1" ht="11.25" hidden="1">
      <c r="A28" s="464"/>
      <c r="B28" s="509"/>
      <c r="C28" s="509"/>
      <c r="D28" s="1013" t="s">
        <v>491</v>
      </c>
      <c r="E28" s="1021" t="s">
        <v>492</v>
      </c>
      <c r="F28" s="1022"/>
      <c r="G28" s="1015"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8">
        <v>0</v>
      </c>
    </row>
    <row s="508" customFormat="1" customHeight="1" ht="11.25" hidden="1">
      <c r="A29" s="464"/>
      <c r="B29" s="509"/>
      <c r="C29" s="509"/>
      <c r="D29" s="1013" t="s">
        <v>493</v>
      </c>
      <c r="E29" s="1021" t="s">
        <v>494</v>
      </c>
      <c r="F29" s="1022"/>
      <c r="G29" s="1015"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8">
        <v>0</v>
      </c>
    </row>
    <row s="508" customFormat="1" customHeight="1" ht="11.25" hidden="1">
      <c r="A30" s="464"/>
      <c r="B30" s="509"/>
      <c r="C30" s="509"/>
      <c r="D30" s="1013" t="s">
        <v>495</v>
      </c>
      <c r="E30" s="1014" t="s">
        <v>496</v>
      </c>
      <c r="F30" s="1022"/>
      <c r="G30" s="1015"/>
      <c r="J30" s="508">
        <v>0</v>
      </c>
    </row>
    <row s="508" customFormat="1" customHeight="1" ht="11.25" hidden="1">
      <c r="A31" s="464"/>
      <c r="B31" s="509"/>
      <c r="C31" s="509"/>
      <c r="D31" s="1013" t="s">
        <v>497</v>
      </c>
      <c r="E31" s="1014" t="s">
        <v>498</v>
      </c>
      <c r="F31" s="1022"/>
      <c r="G31" s="1015"/>
      <c r="J31" s="508">
        <v>0</v>
      </c>
    </row>
    <row s="508" customFormat="1" customHeight="1" ht="11.25" hidden="1">
      <c r="A32" s="464"/>
      <c r="B32" s="509"/>
      <c r="C32" s="509"/>
      <c r="D32" s="1013" t="s">
        <v>499</v>
      </c>
      <c r="E32" s="1014" t="s">
        <v>500</v>
      </c>
      <c r="F32" s="1023"/>
      <c r="G32" s="1015"/>
      <c r="J32" s="508">
        <v>0</v>
      </c>
    </row>
    <row customHeight="1" ht="24">
      <c r="A33" s="464" t="str">
        <f>IF(TEMPLATE_SPHERE="HEAT","6","5")</f>
        <v>5</v>
      </c>
      <c r="B33" s="509"/>
      <c r="C33" s="464"/>
      <c r="D33" s="447" t="str">
        <f>A33</f>
        <v>5</v>
      </c>
      <c r="E33" s="445"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50" t="s">
        <v>469</v>
      </c>
      <c r="G33" s="481"/>
      <c r="H33" s="482"/>
      <c r="J33" s="462">
        <v>23</v>
      </c>
    </row>
    <row customHeight="1" ht="23.25">
      <c r="A34" s="464"/>
      <c r="B34" s="509"/>
      <c r="C34" s="464"/>
      <c r="D34" s="447" t="str">
        <f>D33&amp;".1"</f>
        <v>5.1</v>
      </c>
      <c r="E34" s="449" t="str">
        <f>"фамилия"&amp;IF(TEMPLATE_SPHERE&lt;&gt;"HEAT"," руководителя","")</f>
        <v>фамилия руководителя</v>
      </c>
      <c r="F34" s="448"/>
      <c r="G34" s="45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82"/>
      <c r="J34" s="462">
        <v>22</v>
      </c>
    </row>
    <row customHeight="1" ht="23.25">
      <c r="A35" s="464"/>
      <c r="B35" s="509"/>
      <c r="C35" s="464"/>
      <c r="D35" s="447" t="str">
        <f>D33&amp;".2"</f>
        <v>5.2</v>
      </c>
      <c r="E35" s="449" t="str">
        <f>"имя"&amp;IF(TEMPLATE_SPHERE&lt;&gt;"HEAT"," руководителя","")</f>
        <v>имя руководителя</v>
      </c>
      <c r="F35" s="448"/>
      <c r="G35" s="45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82"/>
      <c r="J35" s="462">
        <v>22</v>
      </c>
    </row>
    <row customHeight="1" ht="24">
      <c r="A36" s="464"/>
      <c r="B36" s="509"/>
      <c r="C36" s="464"/>
      <c r="D36" s="447" t="str">
        <f>D33&amp;".3"</f>
        <v>5.3</v>
      </c>
      <c r="E36" s="449" t="str">
        <f>"отчество"&amp;IF(TEMPLATE_SPHERE&lt;&gt;"HEAT"," руководителя","")</f>
        <v>отчество руководителя</v>
      </c>
      <c r="F36" s="705"/>
      <c r="G36" s="45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82"/>
      <c r="J36" s="462">
        <v>23</v>
      </c>
    </row>
    <row customHeight="1" ht="35.699999999999996">
      <c r="A37" s="464"/>
      <c r="B37" s="509"/>
      <c r="C37" s="464"/>
      <c r="D37" s="447">
        <f>D33+1</f>
        <v>6</v>
      </c>
      <c r="E37" s="445"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8"/>
      <c r="G37" s="451" t="s">
        <v>501</v>
      </c>
      <c r="H37" s="482"/>
      <c r="J37" s="462">
        <v>34</v>
      </c>
    </row>
    <row customHeight="1" ht="35.699999999999996">
      <c r="A38" s="464"/>
      <c r="B38" s="509"/>
      <c r="C38" s="464"/>
      <c r="D38" s="447">
        <f>D37+1</f>
        <v>7</v>
      </c>
      <c r="E38" s="445"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8"/>
      <c r="G38" s="451" t="s">
        <v>501</v>
      </c>
      <c r="H38" s="482"/>
      <c r="J38" s="462">
        <v>34</v>
      </c>
    </row>
    <row customHeight="1" ht="23.25">
      <c r="A39" s="464"/>
      <c r="B39" s="509"/>
      <c r="C39" s="464"/>
      <c r="D39" s="447">
        <f>D38+1</f>
        <v>8</v>
      </c>
      <c r="E39" s="444"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50" t="s">
        <v>469</v>
      </c>
      <c r="G39" s="2217"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82"/>
      <c r="J39" s="462">
        <v>22</v>
      </c>
    </row>
    <row customHeight="1" ht="22.5" hidden="1">
      <c r="A40" s="464"/>
      <c r="B40" s="509"/>
      <c r="C40" s="464"/>
      <c r="D40" s="447" t="str">
        <f>D39&amp;".0"</f>
        <v>8.0</v>
      </c>
      <c r="E40" s="1612"/>
      <c r="F40" s="888"/>
      <c r="G40" s="2218"/>
      <c r="H40" s="482"/>
      <c r="J40" s="462">
        <v>0</v>
      </c>
    </row>
    <row customHeight="1" ht="23.25">
      <c r="A41" s="464"/>
      <c r="B41" s="464"/>
      <c r="C41" s="1695"/>
      <c r="D41" s="447" t="str">
        <f>D39&amp;".1"</f>
        <v>8.1</v>
      </c>
      <c r="E41" s="867"/>
      <c r="F41" s="868"/>
      <c r="G41" s="2218"/>
      <c r="H41" s="482"/>
      <c r="J41" s="462">
        <v>22</v>
      </c>
    </row>
    <row customHeight="1" ht="15.75">
      <c r="A42" s="464"/>
      <c r="B42" s="509"/>
      <c r="C42" s="464"/>
      <c r="D42" s="474"/>
      <c r="E42" s="422" t="s">
        <v>502</v>
      </c>
      <c r="F42" s="476"/>
      <c r="G42" s="2219"/>
      <c r="H42" s="483"/>
      <c r="J42" s="462">
        <v>15</v>
      </c>
    </row>
    <row customHeight="1" ht="27.299999999999997">
      <c r="A43" s="464"/>
      <c r="B43" s="509"/>
      <c r="C43" s="464"/>
      <c r="D43" s="447">
        <f>D39+1</f>
        <v>9</v>
      </c>
      <c r="E43" s="445"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9"/>
      <c r="G43" s="45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82"/>
      <c r="J43" s="462">
        <v>26</v>
      </c>
    </row>
    <row customHeight="1" ht="23.25">
      <c r="A44" s="464"/>
      <c r="B44" s="509"/>
      <c r="C44" s="464"/>
      <c r="D44" s="447">
        <f>D43+1</f>
        <v>10</v>
      </c>
      <c r="E44" s="445"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85"/>
      <c r="G44" s="481" t="s">
        <v>503</v>
      </c>
      <c r="H44" s="482"/>
      <c r="J44" s="462">
        <v>22</v>
      </c>
    </row>
    <row customHeight="1" ht="23.25">
      <c r="A45" s="464"/>
      <c r="B45" s="509"/>
      <c r="C45" s="464"/>
      <c r="D45" s="447">
        <f>D44+1</f>
        <v>11</v>
      </c>
      <c r="E45" s="445" t="s">
        <v>504</v>
      </c>
      <c r="F45" s="450" t="s">
        <v>469</v>
      </c>
      <c r="G45" s="444" t="str">
        <f>IF(TEMPLATE_SPHERE="TKO","Указывается режим работы организации.","")</f>
        <v/>
      </c>
      <c r="H45" s="482"/>
      <c r="J45" s="462">
        <v>22</v>
      </c>
    </row>
    <row customHeight="1" ht="24">
      <c r="A46" s="464"/>
      <c r="B46" s="509"/>
      <c r="C46" s="464"/>
      <c r="D46" s="447" t="str">
        <f>D45&amp;".1"</f>
        <v>11.1</v>
      </c>
      <c r="E46" s="449" t="str">
        <f>"режим работы регулируемой организации"&amp;IF(TEMPLATE_SPHERE="HEAT",", ЕТО, ТО","")</f>
        <v>режим работы регулируемой организации</v>
      </c>
      <c r="F46" s="1691"/>
      <c r="G46" s="444" t="s">
        <v>505</v>
      </c>
      <c r="H46" s="482"/>
      <c r="J46" s="462">
        <v>23</v>
      </c>
    </row>
    <row customHeight="1" ht="24">
      <c r="A47" s="2209"/>
      <c r="B47" s="509"/>
      <c r="C47" s="499"/>
      <c r="D47" s="447" t="str">
        <f>D45&amp;".2"</f>
        <v>11.2</v>
      </c>
      <c r="E47" s="449" t="s">
        <v>506</v>
      </c>
      <c r="F47" s="497"/>
      <c r="G47" s="444" t="s">
        <v>507</v>
      </c>
      <c r="H47" s="482"/>
      <c r="J47" s="462">
        <v>23</v>
      </c>
    </row>
    <row customHeight="1" ht="24">
      <c r="A48" s="2209"/>
      <c r="B48" s="509"/>
      <c r="C48" s="499"/>
      <c r="D48" s="447" t="str">
        <f>D45&amp;".3"</f>
        <v>11.3</v>
      </c>
      <c r="E48" s="449" t="s">
        <v>508</v>
      </c>
      <c r="F48" s="497"/>
      <c r="G48" s="444" t="s">
        <v>509</v>
      </c>
      <c r="H48" s="482"/>
      <c r="J48" s="462">
        <v>23</v>
      </c>
    </row>
    <row customHeight="1" ht="24">
      <c r="A49" s="2209"/>
      <c r="B49" s="509"/>
      <c r="C49" s="499"/>
      <c r="D49" s="447" t="str">
        <f>IF(TEMPLATE_SPHERE="TKO",D45&amp;".0",D45&amp;".4")</f>
        <v>11.4</v>
      </c>
      <c r="E49" s="443" t="s">
        <v>510</v>
      </c>
      <c r="F49" s="1692"/>
      <c r="G49" s="1769" t="s">
        <v>511</v>
      </c>
      <c r="H49" s="482"/>
      <c r="J49" s="462">
        <v>23</v>
      </c>
    </row>
    <row customHeight="1" ht="24">
      <c r="A50" s="464"/>
      <c r="B50" s="509"/>
      <c r="C50" s="464"/>
      <c r="D50" s="474"/>
      <c r="E50" s="422" t="s">
        <v>512</v>
      </c>
      <c r="F50" s="475"/>
      <c r="G50" s="1769" t="s">
        <v>513</v>
      </c>
      <c r="H50" s="483"/>
      <c r="J50" s="462">
        <v>23</v>
      </c>
    </row>
    <row customHeight="1" ht="24">
      <c r="A51" s="865"/>
      <c r="B51" s="509"/>
      <c r="C51" s="499"/>
      <c r="D51" s="447">
        <f>D45+1</f>
        <v>12</v>
      </c>
      <c r="E51" s="535" t="s">
        <v>514</v>
      </c>
      <c r="F51" s="497"/>
      <c r="G51" s="1696"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82"/>
      <c r="J51" s="462">
        <v>23</v>
      </c>
    </row>
    <row customHeight="1" ht="11.549999999999999">
      <c r="A52" s="464"/>
      <c r="B52" s="509"/>
      <c r="C52" s="464"/>
      <c r="J52" s="462">
        <v>11</v>
      </c>
    </row>
    <row s="467" customFormat="1" customHeight="1" ht="31.5">
      <c r="A53" s="1694"/>
      <c r="B53" s="510"/>
      <c r="C53" s="2210"/>
      <c r="D53" s="2213"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13"/>
      <c r="F53" s="2213"/>
      <c r="G53" s="2213"/>
      <c r="H53" s="461"/>
      <c r="I53" s="461"/>
      <c r="J53" s="467">
        <v>30</v>
      </c>
    </row>
    <row s="467" customFormat="1" customHeight="1" ht="42">
      <c r="A54" s="464"/>
      <c r="B54" s="509"/>
      <c r="C54" s="2210"/>
      <c r="D54" s="2213"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13"/>
      <c r="F54" s="2213"/>
      <c r="G54" s="2213"/>
      <c r="J54" s="467">
        <v>40</v>
      </c>
    </row>
    <row customHeight="1" ht="11.549999999999999">
      <c r="D55" s="465"/>
      <c r="E55" s="466"/>
      <c r="F55" s="466"/>
      <c r="G55" s="466"/>
      <c r="J55" s="462">
        <v>11</v>
      </c>
    </row>
    <row customHeight="1" ht="28.5">
      <c r="D56" s="468"/>
      <c r="E56" s="465"/>
      <c r="F56" s="477"/>
      <c r="G56" s="477"/>
      <c r="J56" s="462">
        <v>27</v>
      </c>
    </row>
    <row customHeight="1" ht="11.549999999999999">
      <c r="D57" s="465"/>
      <c r="E57" s="465"/>
      <c r="F57" s="466"/>
      <c r="G57" s="466"/>
      <c r="J57" s="462">
        <v>11</v>
      </c>
    </row>
    <row customHeight="1" ht="40.949999999999996">
      <c r="D58" s="469"/>
      <c r="E58" s="478"/>
      <c r="F58" s="478"/>
      <c r="G58" s="478"/>
      <c r="J58" s="462">
        <v>39</v>
      </c>
    </row>
    <row customHeight="1" ht="28.5">
      <c r="D59" s="469"/>
      <c r="E59" s="478"/>
      <c r="F59" s="478"/>
      <c r="G59" s="478"/>
      <c r="J59" s="462">
        <v>27</v>
      </c>
    </row>
    <row customHeight="1" ht="11.25" hidden="1">
      <c r="A60" s="1693" t="s">
        <v>82</v>
      </c>
      <c r="B60" s="508">
        <v>0</v>
      </c>
      <c r="C60" s="462">
        <v>3</v>
      </c>
      <c r="D60" s="463">
        <v>6</v>
      </c>
      <c r="E60" s="462">
        <v>52</v>
      </c>
      <c r="F60" s="462">
        <v>48</v>
      </c>
      <c r="G60" s="462">
        <v>121</v>
      </c>
      <c r="H60" s="462">
        <v>8</v>
      </c>
      <c r="I60" s="462">
        <v>64</v>
      </c>
      <c r="J60" s="462">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34674E-6F23-BF71-8F33-A8A3A72A1E79}"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9" width="9.140625" hidden="1" customWidth="1"/>
    <col min="2" max="2" style="1642" width="9.140625" hidden="1" customWidth="1"/>
    <col min="3" max="3" style="1849" width="3.00390625" customWidth="1"/>
    <col min="4" max="4" style="1642" width="5.00390625" customWidth="1"/>
    <col min="5" max="5" style="1642" width="48.00390625" customWidth="1"/>
    <col min="6" max="6" style="1642" width="38.00390625" customWidth="1"/>
    <col min="7" max="7" style="1642" width="1.7109375" hidden="1" customWidth="1"/>
    <col min="8" max="11" style="1642" width="19.8515625" hidden="1" customWidth="1"/>
    <col min="12" max="12" style="1642" width="9.7109375" hidden="1" customWidth="1"/>
    <col min="13" max="18" style="1642" width="19.8515625" hidden="1" customWidth="1"/>
    <col min="19" max="19" style="1642" width="1.7109375" hidden="1" customWidth="1"/>
    <col min="20" max="22" style="1642" width="19.8515625" hidden="1" customWidth="1"/>
    <col min="23" max="23" style="1642" width="1.7109375" hidden="1" customWidth="1"/>
    <col min="24" max="26" style="1642" width="19.8515625" customWidth="1"/>
    <col min="27" max="27" style="1642" width="1.7109375" hidden="1" customWidth="1"/>
    <col min="28" max="29" style="1642" width="19.8515625" hidden="1" customWidth="1"/>
    <col min="30" max="30" style="1642" width="1.7109375" hidden="1" customWidth="1"/>
    <col min="31" max="32" style="1642" width="103.7109375" hidden="1" customWidth="1"/>
    <col min="33" max="33" style="1642" width="103.7109375" customWidth="1"/>
    <col min="34" max="34" style="1642" width="103.7109375" hidden="1" customWidth="1"/>
    <col min="35" max="35" style="1826" width="3.00390625" customWidth="1"/>
    <col min="36" max="38" style="1649" width="10.00390625" customWidth="1"/>
    <col min="39" max="39" style="1649" width="13.7109375" hidden="1" customWidth="1"/>
    <col min="40" max="40" style="1649" width="15.00390625" customWidth="1"/>
    <col min="41" max="41" style="1649" width="16.00390625" customWidth="1"/>
    <col min="42" max="45" style="1649" width="10.00390625" customWidth="1"/>
    <col min="46" max="46" style="1642" width="10.57421875" hidden="1"/>
  </cols>
  <sheetData>
    <row customHeight="1" ht="22.5" hidden="1">
      <c r="E1" s="419"/>
      <c r="F1" s="419"/>
      <c r="G1" s="419"/>
      <c r="H1" s="2224" t="s">
        <v>515</v>
      </c>
      <c r="I1" s="2224"/>
      <c r="J1" s="2224"/>
      <c r="K1" s="2224"/>
      <c r="L1" s="2224"/>
      <c r="M1" s="2224"/>
      <c r="N1" s="2224"/>
      <c r="O1" s="2224"/>
      <c r="P1" s="2224"/>
      <c r="Q1" s="2224"/>
      <c r="R1" s="2224"/>
      <c r="T1" s="2224" t="s">
        <v>516</v>
      </c>
      <c r="U1" s="2224"/>
      <c r="V1" s="2224"/>
      <c r="X1" s="2224" t="s">
        <v>517</v>
      </c>
      <c r="Y1" s="2224"/>
      <c r="Z1" s="2224"/>
      <c r="AB1" s="2224" t="s">
        <v>518</v>
      </c>
      <c r="AC1" s="2224"/>
      <c r="AT1" s="454" t="s">
        <v>14</v>
      </c>
    </row>
    <row customHeight="1" ht="14.25" hidden="1">
      <c r="AT2" s="454">
        <v>0</v>
      </c>
    </row>
    <row s="1620" customFormat="1" customHeight="1" ht="5.25">
      <c r="C3" s="708"/>
      <c r="D3" s="709"/>
      <c r="E3" s="709"/>
      <c r="F3" s="709"/>
      <c r="G3" s="709"/>
      <c r="H3" s="709" t="s">
        <v>519</v>
      </c>
      <c r="I3" s="709"/>
      <c r="J3" s="709"/>
      <c r="K3" s="709"/>
      <c r="L3" s="709"/>
      <c r="M3" s="709"/>
      <c r="N3" s="709"/>
      <c r="O3" s="709"/>
      <c r="P3" s="709"/>
      <c r="Q3" s="709"/>
      <c r="R3" s="709"/>
      <c r="S3" s="709"/>
      <c r="T3" s="709"/>
      <c r="U3" s="709"/>
      <c r="V3" s="709"/>
      <c r="W3" s="709"/>
      <c r="X3" s="709"/>
      <c r="Y3" s="709"/>
      <c r="Z3" s="709"/>
      <c r="AA3" s="709"/>
      <c r="AB3" s="709"/>
      <c r="AC3" s="709"/>
      <c r="AD3" s="709"/>
      <c r="AE3" s="709"/>
      <c r="AF3" s="709"/>
      <c r="AG3" s="709"/>
      <c r="AH3" s="709"/>
      <c r="AJ3" s="518"/>
      <c r="AK3" s="518"/>
      <c r="AL3" s="518"/>
      <c r="AM3" s="518"/>
      <c r="AN3" s="518"/>
      <c r="AO3" s="518"/>
      <c r="AP3" s="518"/>
      <c r="AQ3" s="518"/>
      <c r="AR3" s="518"/>
      <c r="AS3" s="518"/>
      <c r="AT3" s="707">
        <v>5</v>
      </c>
    </row>
    <row customHeight="1" ht="39.75">
      <c r="C4" s="457"/>
      <c r="D4" s="2164" t="str">
        <f>ORG_VD_NAME_FORM</f>
        <v>Форма 1. Информация об организации, осуществляющей холодное водоснабжение (общая информация)</v>
      </c>
      <c r="E4" s="2165"/>
      <c r="F4" s="2165"/>
      <c r="G4" s="2165"/>
      <c r="H4" s="2165"/>
      <c r="I4" s="2165"/>
      <c r="J4" s="2165"/>
      <c r="K4" s="2165"/>
      <c r="L4" s="2165"/>
      <c r="M4" s="2165"/>
      <c r="N4" s="2165"/>
      <c r="O4" s="2165"/>
      <c r="P4" s="2165"/>
      <c r="Q4" s="2165"/>
      <c r="R4" s="2166"/>
      <c r="S4" s="860"/>
      <c r="T4" s="706"/>
      <c r="U4" s="706"/>
      <c r="V4" s="706"/>
      <c r="W4" s="706"/>
      <c r="X4" s="706"/>
      <c r="Y4" s="706"/>
      <c r="Z4" s="706"/>
      <c r="AA4" s="706"/>
      <c r="AB4" s="706"/>
      <c r="AC4" s="706"/>
      <c r="AD4" s="706"/>
      <c r="AE4" s="498"/>
      <c r="AF4" s="498"/>
      <c r="AG4" s="498"/>
      <c r="AH4" s="498"/>
      <c r="AI4" s="495"/>
      <c r="AT4" s="454">
        <v>38</v>
      </c>
    </row>
    <row s="1642" customFormat="1" customHeight="1" ht="18">
      <c r="A5" s="766"/>
      <c r="C5" s="829"/>
      <c r="D5" s="2221" t="str">
        <f>IF(org=0,"Не определено",org)</f>
        <v>ГУП "Белоблводоканал"</v>
      </c>
      <c r="E5" s="2222"/>
      <c r="F5" s="2222"/>
      <c r="G5" s="2222"/>
      <c r="H5" s="2222"/>
      <c r="I5" s="2222"/>
      <c r="J5" s="2222"/>
      <c r="K5" s="2222"/>
      <c r="L5" s="2222"/>
      <c r="M5" s="2222"/>
      <c r="N5" s="2222"/>
      <c r="O5" s="2222"/>
      <c r="P5" s="2222"/>
      <c r="Q5" s="2222"/>
      <c r="R5" s="2223"/>
      <c r="S5" s="860"/>
      <c r="T5" s="706"/>
      <c r="U5" s="706"/>
      <c r="V5" s="706"/>
      <c r="W5" s="706"/>
      <c r="X5" s="706"/>
      <c r="Y5" s="706"/>
      <c r="Z5" s="706"/>
      <c r="AA5" s="706"/>
      <c r="AB5" s="706"/>
      <c r="AC5" s="706"/>
      <c r="AD5" s="706"/>
      <c r="AE5" s="498"/>
      <c r="AF5" s="498"/>
      <c r="AG5" s="498"/>
      <c r="AH5" s="498"/>
      <c r="AI5" s="495"/>
      <c r="AJ5" s="518"/>
      <c r="AK5" s="518"/>
      <c r="AL5" s="518"/>
      <c r="AM5" s="518"/>
      <c r="AN5" s="518"/>
      <c r="AO5" s="518"/>
      <c r="AP5" s="518"/>
      <c r="AQ5" s="518"/>
      <c r="AR5" s="518"/>
      <c r="AS5" s="518"/>
      <c r="AT5" s="765">
        <v>17</v>
      </c>
    </row>
    <row s="1619" customFormat="1" customHeight="1" ht="11.549999999999999">
      <c r="A6" s="486"/>
      <c r="C6" s="493"/>
      <c r="D6" s="492"/>
      <c r="E6" s="492"/>
      <c r="F6" s="492"/>
      <c r="G6" s="492"/>
      <c r="H6" s="492"/>
      <c r="I6" s="492"/>
      <c r="J6" s="492"/>
      <c r="K6" s="492"/>
      <c r="L6" s="492"/>
      <c r="M6" s="492"/>
      <c r="N6" s="492"/>
      <c r="O6" s="492"/>
      <c r="P6" s="492"/>
      <c r="Q6" s="492"/>
      <c r="R6" s="759"/>
      <c r="S6" s="759"/>
      <c r="T6" s="492"/>
      <c r="U6" s="492"/>
      <c r="V6" s="719"/>
      <c r="W6" s="719"/>
      <c r="X6" s="492"/>
      <c r="Y6" s="492"/>
      <c r="Z6" s="719"/>
      <c r="AA6" s="719"/>
      <c r="AB6" s="492"/>
      <c r="AC6" s="719"/>
      <c r="AD6" s="719"/>
      <c r="AE6" s="492"/>
      <c r="AF6" s="492"/>
      <c r="AG6" s="492"/>
      <c r="AH6" s="492"/>
      <c r="AJ6" s="496"/>
      <c r="AK6" s="496"/>
      <c r="AL6" s="496"/>
      <c r="AM6" s="496"/>
      <c r="AN6" s="496"/>
      <c r="AO6" s="496"/>
      <c r="AP6" s="496"/>
      <c r="AQ6" s="496"/>
      <c r="AR6" s="496"/>
      <c r="AS6" s="496"/>
      <c r="AT6" s="487">
        <v>11</v>
      </c>
    </row>
    <row customHeight="1" ht="14.699999999999998">
      <c r="C7" s="457"/>
      <c r="D7" s="2225" t="s">
        <v>463</v>
      </c>
      <c r="E7" s="2226"/>
      <c r="F7" s="2226"/>
      <c r="G7" s="2226"/>
      <c r="H7" s="2226"/>
      <c r="I7" s="2226"/>
      <c r="J7" s="2226"/>
      <c r="K7" s="2226"/>
      <c r="L7" s="2226"/>
      <c r="M7" s="2226"/>
      <c r="N7" s="2226"/>
      <c r="O7" s="2226"/>
      <c r="P7" s="2226"/>
      <c r="Q7" s="2226"/>
      <c r="R7" s="2226"/>
      <c r="S7" s="2226"/>
      <c r="T7" s="2226"/>
      <c r="U7" s="2226"/>
      <c r="V7" s="2226"/>
      <c r="W7" s="2226"/>
      <c r="X7" s="2226"/>
      <c r="Y7" s="2226"/>
      <c r="Z7" s="2226"/>
      <c r="AA7" s="2226"/>
      <c r="AB7" s="2226"/>
      <c r="AC7" s="2226"/>
      <c r="AD7" s="2227"/>
      <c r="AE7" s="2230" t="s">
        <v>464</v>
      </c>
      <c r="AF7" s="2230" t="s">
        <v>464</v>
      </c>
      <c r="AG7" s="2230" t="s">
        <v>464</v>
      </c>
      <c r="AH7" s="2230" t="s">
        <v>464</v>
      </c>
      <c r="AT7" s="454">
        <v>14</v>
      </c>
    </row>
    <row customHeight="1" ht="27.299999999999997">
      <c r="C8" s="457"/>
      <c r="D8" s="2134" t="s">
        <v>88</v>
      </c>
      <c r="E8" s="2230" t="str">
        <f>"Наименование "&amp;IF(TEMPLATE_SPHERE&lt;&gt;"HEAT","централизованной ","")&amp;"системы "&amp;TEMPLATE_SPHERE_RUS</f>
        <v>Наименование централизованной системы холодного водоснабжения</v>
      </c>
      <c r="F8" s="2230" t="str">
        <f>IF(TEMPLATE_SPHERE&lt;&gt;"HEAT","Регулируемый вид деятельности","Вид регулируемой деятельности")</f>
        <v>Регулируемый вид деятельности</v>
      </c>
      <c r="G8" s="835"/>
      <c r="H8" s="2231" t="s">
        <v>520</v>
      </c>
      <c r="I8" s="2233" t="s">
        <v>521</v>
      </c>
      <c r="J8" s="2230" t="s">
        <v>522</v>
      </c>
      <c r="K8" s="2230"/>
      <c r="L8" s="2230"/>
      <c r="M8" s="2225"/>
      <c r="N8" s="2230" t="s">
        <v>523</v>
      </c>
      <c r="O8" s="2230"/>
      <c r="P8" s="2230" t="s">
        <v>524</v>
      </c>
      <c r="Q8" s="2230"/>
      <c r="R8" s="2237" t="s">
        <v>525</v>
      </c>
      <c r="S8" s="831"/>
      <c r="T8" s="2235" t="s">
        <v>526</v>
      </c>
      <c r="U8" s="2235" t="s">
        <v>527</v>
      </c>
      <c r="V8" s="2235" t="s">
        <v>528</v>
      </c>
      <c r="W8" s="833"/>
      <c r="X8" s="2235" t="s">
        <v>529</v>
      </c>
      <c r="Y8" s="2235" t="s">
        <v>530</v>
      </c>
      <c r="Z8" s="2235" t="s">
        <v>531</v>
      </c>
      <c r="AA8" s="833"/>
      <c r="AB8" s="2235" t="s">
        <v>532</v>
      </c>
      <c r="AC8" s="2235" t="s">
        <v>525</v>
      </c>
      <c r="AD8" s="833"/>
      <c r="AE8" s="2230"/>
      <c r="AF8" s="2230"/>
      <c r="AG8" s="2230"/>
      <c r="AH8" s="2230"/>
      <c r="AT8" s="454">
        <v>26</v>
      </c>
    </row>
    <row customHeight="1" ht="46.199999999999996">
      <c r="C9" s="457"/>
      <c r="D9" s="2134"/>
      <c r="E9" s="2230"/>
      <c r="F9" s="2230"/>
      <c r="G9" s="836"/>
      <c r="H9" s="2232"/>
      <c r="I9" s="2234"/>
      <c r="J9" s="432" t="s">
        <v>533</v>
      </c>
      <c r="K9" s="432" t="s">
        <v>534</v>
      </c>
      <c r="L9" s="432" t="s">
        <v>535</v>
      </c>
      <c r="M9" s="438" t="s">
        <v>536</v>
      </c>
      <c r="N9" s="432" t="s">
        <v>537</v>
      </c>
      <c r="O9" s="432" t="s">
        <v>536</v>
      </c>
      <c r="P9" s="432" t="s">
        <v>538</v>
      </c>
      <c r="Q9" s="432" t="s">
        <v>536</v>
      </c>
      <c r="R9" s="2238"/>
      <c r="S9" s="832"/>
      <c r="T9" s="2236"/>
      <c r="U9" s="2236"/>
      <c r="V9" s="2236"/>
      <c r="W9" s="834"/>
      <c r="X9" s="2236"/>
      <c r="Y9" s="2236"/>
      <c r="Z9" s="2236"/>
      <c r="AA9" s="834"/>
      <c r="AB9" s="2236"/>
      <c r="AC9" s="2236"/>
      <c r="AD9" s="834"/>
      <c r="AE9" s="2230"/>
      <c r="AF9" s="2230"/>
      <c r="AG9" s="2230"/>
      <c r="AH9" s="2230"/>
      <c r="AT9" s="454">
        <v>44</v>
      </c>
    </row>
    <row customHeight="1" ht="12" hidden="1">
      <c r="C10" s="494"/>
      <c r="D10" s="455"/>
      <c r="E10" s="455"/>
      <c r="F10" s="455"/>
      <c r="G10" s="455"/>
      <c r="H10" s="455"/>
      <c r="I10" s="455"/>
      <c r="J10" s="455"/>
      <c r="K10" s="455"/>
      <c r="L10" s="455"/>
      <c r="M10" s="455"/>
      <c r="N10" s="455"/>
      <c r="O10" s="455"/>
      <c r="P10" s="455"/>
      <c r="Q10" s="455"/>
      <c r="R10" s="455"/>
      <c r="S10" s="455"/>
      <c r="T10" s="455"/>
      <c r="U10" s="455"/>
      <c r="V10" s="455"/>
      <c r="W10" s="455"/>
      <c r="X10" s="455"/>
      <c r="Y10" s="455"/>
      <c r="Z10" s="455"/>
      <c r="AA10" s="455"/>
      <c r="AB10" s="455"/>
      <c r="AC10" s="455"/>
      <c r="AD10" s="455"/>
      <c r="AE10" s="455"/>
      <c r="AF10" s="455"/>
      <c r="AG10" s="455"/>
      <c r="AH10" s="455"/>
      <c r="AI10" s="454"/>
      <c r="AP10" s="507"/>
      <c r="AQ10" s="507"/>
      <c r="AT10" s="454">
        <v>0</v>
      </c>
    </row>
    <row s="1648" customFormat="1" customHeight="1" ht="11.25" hidden="1">
      <c r="C11" s="505"/>
      <c r="D11" s="506" t="s">
        <v>539</v>
      </c>
      <c r="E11" s="506"/>
      <c r="F11" s="506"/>
      <c r="G11" s="506"/>
      <c r="H11" s="504"/>
      <c r="I11" s="504"/>
      <c r="J11" s="504"/>
      <c r="K11" s="504"/>
      <c r="L11" s="504"/>
      <c r="M11" s="504"/>
      <c r="N11" s="504"/>
      <c r="O11" s="504"/>
      <c r="P11" s="504"/>
      <c r="Q11" s="504"/>
      <c r="R11" s="504"/>
      <c r="S11" s="504"/>
      <c r="T11" s="504"/>
      <c r="U11" s="504"/>
      <c r="V11" s="504"/>
      <c r="W11" s="504"/>
      <c r="X11" s="504"/>
      <c r="Y11" s="504"/>
      <c r="Z11" s="504"/>
      <c r="AA11" s="504"/>
      <c r="AB11" s="504"/>
      <c r="AC11" s="504"/>
      <c r="AD11" s="504"/>
      <c r="AE11" s="442"/>
      <c r="AF11" s="442"/>
      <c r="AG11" s="442"/>
      <c r="AH11" s="442"/>
      <c r="AJ11" s="496"/>
      <c r="AK11" s="496"/>
      <c r="AL11" s="496"/>
      <c r="AM11" s="496"/>
      <c r="AN11" s="496"/>
      <c r="AO11" s="496"/>
      <c r="AP11" s="496"/>
      <c r="AQ11" s="496"/>
      <c r="AR11" s="496"/>
      <c r="AS11" s="496"/>
      <c r="AT11" s="503">
        <v>0</v>
      </c>
    </row>
    <row customHeight="1" ht="14.699999999999998">
      <c r="A12" s="454"/>
      <c r="C12" s="457"/>
      <c r="D12" s="441" t="s">
        <v>108</v>
      </c>
      <c r="E12" s="1784" t="s">
        <v>28</v>
      </c>
      <c r="F12" s="862"/>
      <c r="G12" s="863"/>
      <c r="H12" s="1785"/>
      <c r="I12" s="1785"/>
      <c r="J12" s="440"/>
      <c r="K12" s="1870"/>
      <c r="L12" s="439"/>
      <c r="M12" s="1870"/>
      <c r="N12" s="440"/>
      <c r="O12" s="1870"/>
      <c r="P12" s="440"/>
      <c r="Q12" s="1870"/>
      <c r="R12" s="440"/>
      <c r="S12" s="861"/>
      <c r="T12" s="1785"/>
      <c r="U12" s="440"/>
      <c r="V12" s="440"/>
      <c r="W12" s="834"/>
      <c r="X12" s="1785"/>
      <c r="Y12" s="440"/>
      <c r="Z12" s="440"/>
      <c r="AA12" s="834"/>
      <c r="AB12" s="1785"/>
      <c r="AC12" s="440"/>
      <c r="AD12" s="834"/>
      <c r="AE12" s="2228" t="s">
        <v>540</v>
      </c>
      <c r="AF12" s="2228" t="s">
        <v>541</v>
      </c>
      <c r="AG12" s="2228" t="s">
        <v>542</v>
      </c>
      <c r="AH12" s="2228" t="s">
        <v>543</v>
      </c>
      <c r="AI12" s="454"/>
      <c r="AM12" s="518"/>
      <c r="AP12" s="507" t="s">
        <v>544</v>
      </c>
      <c r="AQ12" s="507" t="s">
        <v>544</v>
      </c>
      <c r="AT12" s="454">
        <v>14</v>
      </c>
    </row>
    <row customHeight="1" ht="18">
      <c r="A13" s="454"/>
      <c r="C13" s="457"/>
      <c r="D13" s="412"/>
      <c r="E13" s="876" t="str">
        <f>IF(TITLE_DIFFERENTIATION_TYPE="нет","","Добавить систему")</f>
        <v/>
      </c>
      <c r="F13" s="876" t="str">
        <f>IF(TITLE_DIFFERENTIATION_TYPE="нет","Добавить вид деятельности","")</f>
        <v>Добавить вид деятельности</v>
      </c>
      <c r="G13" s="320"/>
      <c r="H13" s="413"/>
      <c r="I13" s="413"/>
      <c r="J13" s="413"/>
      <c r="K13" s="413"/>
      <c r="L13" s="413"/>
      <c r="M13" s="413"/>
      <c r="N13" s="413"/>
      <c r="O13" s="413"/>
      <c r="P13" s="413"/>
      <c r="Q13" s="413"/>
      <c r="R13" s="413"/>
      <c r="S13" s="413"/>
      <c r="T13" s="413"/>
      <c r="U13" s="413"/>
      <c r="V13" s="413"/>
      <c r="W13" s="413"/>
      <c r="X13" s="413"/>
      <c r="Y13" s="413"/>
      <c r="Z13" s="413"/>
      <c r="AA13" s="413"/>
      <c r="AB13" s="413"/>
      <c r="AC13" s="413"/>
      <c r="AD13" s="864"/>
      <c r="AE13" s="2229"/>
      <c r="AF13" s="2229"/>
      <c r="AG13" s="2229"/>
      <c r="AH13" s="2229"/>
      <c r="AI13" s="454"/>
      <c r="AT13" s="454">
        <v>17</v>
      </c>
    </row>
    <row customHeight="1" ht="14.699999999999998">
      <c r="AI14" s="454"/>
      <c r="AT14" s="454">
        <v>14</v>
      </c>
    </row>
    <row customHeight="1" ht="14.699999999999998">
      <c r="E15" s="765"/>
      <c r="L15" s="765"/>
      <c r="AT15" s="454">
        <v>14</v>
      </c>
    </row>
    <row customHeight="1" ht="14.699999999999998">
      <c r="L16" s="765"/>
      <c r="AT16" s="454">
        <v>14</v>
      </c>
    </row>
    <row customHeight="1" ht="14.699999999999998">
      <c r="L17" s="765"/>
      <c r="AT17" s="454">
        <v>14</v>
      </c>
    </row>
    <row customHeight="1" ht="22.5" hidden="1">
      <c r="A18" s="456" t="s">
        <v>82</v>
      </c>
      <c r="B18" s="454">
        <v>0</v>
      </c>
      <c r="C18" s="458">
        <v>3</v>
      </c>
      <c r="D18" s="454">
        <v>5</v>
      </c>
      <c r="E18" s="454">
        <v>48</v>
      </c>
      <c r="F18" s="454">
        <v>38</v>
      </c>
      <c r="G18" s="765">
        <v>0</v>
      </c>
      <c r="H18" s="454">
        <v>0</v>
      </c>
      <c r="I18" s="454">
        <v>0</v>
      </c>
      <c r="J18" s="454">
        <v>0</v>
      </c>
      <c r="K18" s="454">
        <v>0</v>
      </c>
      <c r="L18" s="454">
        <v>0</v>
      </c>
      <c r="M18" s="454">
        <v>0</v>
      </c>
      <c r="N18" s="454">
        <v>0</v>
      </c>
      <c r="O18" s="454">
        <v>0</v>
      </c>
      <c r="P18" s="454">
        <v>0</v>
      </c>
      <c r="Q18" s="454">
        <v>0</v>
      </c>
      <c r="R18" s="454">
        <v>0</v>
      </c>
      <c r="S18" s="765">
        <v>0</v>
      </c>
      <c r="T18" s="512">
        <v>0</v>
      </c>
      <c r="U18" s="512">
        <v>0</v>
      </c>
      <c r="V18" s="512">
        <v>0</v>
      </c>
      <c r="W18" s="765">
        <v>0</v>
      </c>
      <c r="X18" s="512">
        <v>0</v>
      </c>
      <c r="Y18" s="512">
        <v>0</v>
      </c>
      <c r="Z18" s="512">
        <v>0</v>
      </c>
      <c r="AA18" s="765">
        <v>0</v>
      </c>
      <c r="AB18" s="512">
        <v>0</v>
      </c>
      <c r="AC18" s="512">
        <v>0</v>
      </c>
      <c r="AD18" s="765">
        <v>0</v>
      </c>
      <c r="AE18" s="454">
        <v>0</v>
      </c>
      <c r="AF18" s="512">
        <v>0</v>
      </c>
      <c r="AG18" s="512">
        <v>0</v>
      </c>
      <c r="AH18" s="512">
        <v>0</v>
      </c>
      <c r="AI18" s="459">
        <v>3</v>
      </c>
      <c r="AJ18" s="496">
        <v>10</v>
      </c>
      <c r="AK18" s="496">
        <v>10</v>
      </c>
      <c r="AL18" s="496">
        <v>10</v>
      </c>
      <c r="AM18" s="496">
        <v>0</v>
      </c>
      <c r="AN18" s="496">
        <v>15</v>
      </c>
      <c r="AO18" s="496">
        <v>16</v>
      </c>
      <c r="AP18" s="496">
        <v>10</v>
      </c>
      <c r="AQ18" s="496">
        <v>10</v>
      </c>
      <c r="AR18" s="496">
        <v>10</v>
      </c>
      <c r="AS18" s="496">
        <v>10</v>
      </c>
      <c r="AT18" s="454">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A2F954-1AD5-71A8-EE31-6620FC9D98FD}"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9" width="9.140625" hidden="1" customWidth="1"/>
    <col min="2" max="2" style="1642" width="9.140625" hidden="1" customWidth="1"/>
    <col min="3" max="3" style="1849" width="3.00390625" customWidth="1"/>
    <col min="4" max="4" style="1642" width="5.00390625" customWidth="1"/>
    <col min="5" max="5" style="1642" width="38.00390625" customWidth="1"/>
    <col min="6" max="7" style="1642" width="3.00390625" customWidth="1"/>
    <col min="8" max="8" style="1642" width="38.00390625" customWidth="1"/>
    <col min="9" max="9" style="1642" width="35.00390625" customWidth="1"/>
    <col min="10" max="10" style="1642" width="103.00390625" customWidth="1"/>
    <col min="11" max="11" style="1826" width="3.00390625" customWidth="1"/>
    <col min="12" max="14" style="1649" width="10.00390625" customWidth="1"/>
    <col min="15" max="15" style="1649" width="13.00390625" customWidth="1"/>
    <col min="16" max="16" style="1649" width="15.00390625" customWidth="1"/>
    <col min="17" max="17" style="1649" width="16.00390625" customWidth="1"/>
    <col min="18" max="21" style="1649" width="10.00390625" customWidth="1"/>
    <col min="22" max="22" style="1642" width="10.57421875" hidden="1"/>
  </cols>
  <sheetData>
    <row customHeight="1" ht="22.5" hidden="1">
      <c r="E1" s="419"/>
      <c r="F1" s="419"/>
      <c r="G1" s="419"/>
      <c r="H1" s="2224" t="s">
        <v>515</v>
      </c>
      <c r="I1" s="2224"/>
      <c r="V1" s="1614" t="s">
        <v>14</v>
      </c>
    </row>
    <row s="1642" customFormat="1" customHeight="1" ht="14.25" hidden="1">
      <c r="C2" s="1626"/>
      <c r="D2" s="2240" t="s">
        <v>108</v>
      </c>
      <c r="E2" s="2242"/>
      <c r="F2" s="1632"/>
      <c r="G2" s="1627" t="s">
        <v>108</v>
      </c>
      <c r="H2" s="1630"/>
      <c r="I2" s="1628"/>
      <c r="L2" s="1629"/>
      <c r="M2" s="1629"/>
      <c r="N2" s="1629"/>
      <c r="O2" s="1629" t="s">
        <v>545</v>
      </c>
      <c r="P2" s="1629"/>
      <c r="Q2" s="1629"/>
      <c r="R2" s="1631" t="s">
        <v>544</v>
      </c>
      <c r="S2" s="1631" t="s">
        <v>544</v>
      </c>
      <c r="T2" s="1629"/>
      <c r="U2" s="1629"/>
      <c r="V2" s="1625">
        <v>0</v>
      </c>
    </row>
    <row s="1642" customFormat="1" customHeight="1" ht="14.25" hidden="1">
      <c r="C3" s="1626"/>
      <c r="D3" s="2241"/>
      <c r="E3" s="2243"/>
      <c r="F3" s="412"/>
      <c r="G3" s="876"/>
      <c r="H3" s="876" t="s">
        <v>546</v>
      </c>
      <c r="I3" s="320"/>
      <c r="L3" s="1629"/>
      <c r="M3" s="1629"/>
      <c r="N3" s="1629"/>
      <c r="O3" s="1629"/>
      <c r="P3" s="1629"/>
      <c r="Q3" s="1629"/>
      <c r="R3" s="1631"/>
      <c r="S3" s="1631"/>
      <c r="T3" s="1629"/>
      <c r="U3" s="1629"/>
      <c r="V3" s="1625">
        <v>0</v>
      </c>
    </row>
    <row customHeight="1" ht="14.25" hidden="1">
      <c r="V4" s="1614">
        <v>0</v>
      </c>
    </row>
    <row s="1620" customFormat="1" customHeight="1" ht="5.25">
      <c r="C5" s="708"/>
      <c r="D5" s="709"/>
      <c r="E5" s="709"/>
      <c r="F5" s="709"/>
      <c r="G5" s="709"/>
      <c r="H5" s="709" t="s">
        <v>519</v>
      </c>
      <c r="I5" s="709"/>
      <c r="J5" s="709"/>
      <c r="L5" s="1621"/>
      <c r="M5" s="1621"/>
      <c r="N5" s="1621"/>
      <c r="O5" s="1621"/>
      <c r="P5" s="1621"/>
      <c r="Q5" s="1621"/>
      <c r="R5" s="1621"/>
      <c r="S5" s="1621"/>
      <c r="T5" s="1621"/>
      <c r="U5" s="1621"/>
      <c r="V5" s="1620">
        <v>5</v>
      </c>
    </row>
    <row customHeight="1" ht="29.25">
      <c r="C6" s="1523"/>
      <c r="D6" s="2244" t="s">
        <v>547</v>
      </c>
      <c r="E6" s="2244"/>
      <c r="F6" s="2244"/>
      <c r="G6" s="2244"/>
      <c r="H6" s="2244"/>
      <c r="I6" s="2244"/>
      <c r="J6" s="498"/>
      <c r="K6" s="1622"/>
      <c r="V6" s="1614">
        <v>28</v>
      </c>
    </row>
    <row customHeight="1" ht="18">
      <c r="C7" s="1523"/>
      <c r="D7" s="2183" t="str">
        <f>IF(org=0,"Не определено",org)</f>
        <v>ГУП "Белоблводоканал"</v>
      </c>
      <c r="E7" s="2183"/>
      <c r="F7" s="2183"/>
      <c r="G7" s="2183"/>
      <c r="H7" s="2183"/>
      <c r="I7" s="2183"/>
      <c r="J7" s="498"/>
      <c r="K7" s="1622"/>
      <c r="V7" s="1614">
        <v>17</v>
      </c>
    </row>
    <row s="1619" customFormat="1" customHeight="1" ht="5.25">
      <c r="A8" s="1618"/>
      <c r="C8" s="493"/>
      <c r="D8" s="492"/>
      <c r="E8" s="492"/>
      <c r="F8" s="492"/>
      <c r="G8" s="492"/>
      <c r="H8" s="492"/>
      <c r="I8" s="492"/>
      <c r="J8" s="492"/>
      <c r="L8" s="1621"/>
      <c r="M8" s="1621"/>
      <c r="N8" s="1621"/>
      <c r="O8" s="1621"/>
      <c r="P8" s="1621"/>
      <c r="Q8" s="1621"/>
      <c r="R8" s="1621"/>
      <c r="S8" s="1621"/>
      <c r="T8" s="1621"/>
      <c r="U8" s="1621"/>
      <c r="V8" s="1619">
        <v>5</v>
      </c>
    </row>
    <row s="1619" customFormat="1" customHeight="1" ht="5.25">
      <c r="A9" s="1618"/>
      <c r="C9" s="493"/>
      <c r="D9" s="492"/>
      <c r="E9" s="492"/>
      <c r="F9" s="492"/>
      <c r="G9" s="492"/>
      <c r="H9" s="492"/>
      <c r="I9" s="492"/>
      <c r="J9" s="492"/>
      <c r="L9" s="1629"/>
      <c r="M9" s="1629"/>
      <c r="N9" s="1629"/>
      <c r="O9" s="1629"/>
      <c r="P9" s="1629"/>
      <c r="Q9" s="1629"/>
      <c r="R9" s="1629"/>
      <c r="S9" s="1629"/>
      <c r="T9" s="1629"/>
      <c r="U9" s="1629"/>
      <c r="V9" s="1619">
        <v>5</v>
      </c>
    </row>
    <row customHeight="1" ht="14.699999999999998">
      <c r="C10" s="1523"/>
      <c r="D10" s="2225" t="s">
        <v>463</v>
      </c>
      <c r="E10" s="2226"/>
      <c r="F10" s="2226"/>
      <c r="G10" s="2226"/>
      <c r="H10" s="2226"/>
      <c r="I10" s="2226"/>
      <c r="J10" s="2230" t="s">
        <v>464</v>
      </c>
      <c r="V10" s="1614">
        <v>14</v>
      </c>
    </row>
    <row customHeight="1" ht="27.299999999999997">
      <c r="C11" s="1523"/>
      <c r="D11" s="2134" t="s">
        <v>88</v>
      </c>
      <c r="E11" s="2230" t="s">
        <v>201</v>
      </c>
      <c r="F11" s="2199" t="s">
        <v>88</v>
      </c>
      <c r="G11" s="2200"/>
      <c r="H11" s="2182" t="s">
        <v>548</v>
      </c>
      <c r="I11" s="2182" t="s">
        <v>549</v>
      </c>
      <c r="J11" s="2230"/>
      <c r="V11" s="1614">
        <v>26</v>
      </c>
    </row>
    <row customHeight="1" ht="14.699999999999998">
      <c r="C12" s="1523"/>
      <c r="D12" s="2134"/>
      <c r="E12" s="2230"/>
      <c r="F12" s="2207"/>
      <c r="G12" s="2208"/>
      <c r="H12" s="2239"/>
      <c r="I12" s="2239"/>
      <c r="J12" s="2230"/>
      <c r="V12" s="1614">
        <v>14</v>
      </c>
    </row>
    <row s="1648" customFormat="1" customHeight="1" ht="11.25" hidden="1">
      <c r="C13" s="505"/>
      <c r="D13" s="506" t="s">
        <v>539</v>
      </c>
      <c r="E13" s="506"/>
      <c r="F13" s="506"/>
      <c r="G13" s="506"/>
      <c r="H13" s="504"/>
      <c r="I13" s="504"/>
      <c r="J13" s="442"/>
      <c r="L13" s="1621"/>
      <c r="M13" s="1621"/>
      <c r="N13" s="1621"/>
      <c r="O13" s="1621"/>
      <c r="P13" s="1621"/>
      <c r="Q13" s="1621"/>
      <c r="R13" s="1621"/>
      <c r="S13" s="1621"/>
      <c r="T13" s="1621"/>
      <c r="U13" s="1621"/>
      <c r="V13" s="503">
        <v>0</v>
      </c>
    </row>
    <row customHeight="1" ht="14.699999999999998">
      <c r="A14" s="1614"/>
      <c r="C14" s="1523"/>
      <c r="D14" s="2240" t="s">
        <v>108</v>
      </c>
      <c r="E14" s="2242"/>
      <c r="F14" s="1624"/>
      <c r="G14" s="1623" t="s">
        <v>108</v>
      </c>
      <c r="H14" s="1630"/>
      <c r="I14" s="1628"/>
      <c r="J14" s="2176" t="s">
        <v>550</v>
      </c>
      <c r="K14" s="1614"/>
      <c r="R14" s="507" t="s">
        <v>544</v>
      </c>
      <c r="S14" s="507" t="s">
        <v>544</v>
      </c>
      <c r="V14" s="1614">
        <v>14</v>
      </c>
    </row>
    <row customHeight="1" ht="14.699999999999998">
      <c r="A15" s="1614"/>
      <c r="C15" s="1523"/>
      <c r="D15" s="2241"/>
      <c r="E15" s="2243"/>
      <c r="F15" s="412"/>
      <c r="G15" s="876"/>
      <c r="H15" s="876" t="s">
        <v>546</v>
      </c>
      <c r="I15" s="320"/>
      <c r="J15" s="2177"/>
      <c r="K15" s="1614"/>
      <c r="R15" s="507"/>
      <c r="S15" s="507"/>
      <c r="V15" s="1614">
        <v>14</v>
      </c>
    </row>
    <row customHeight="1" ht="14.699999999999998">
      <c r="A16" s="1614"/>
      <c r="C16" s="1523"/>
      <c r="D16" s="412"/>
      <c r="E16" s="876" t="s">
        <v>213</v>
      </c>
      <c r="F16" s="320"/>
      <c r="G16" s="320"/>
      <c r="H16" s="413"/>
      <c r="I16" s="413"/>
      <c r="J16" s="2178"/>
      <c r="K16" s="1614"/>
      <c r="V16" s="1614">
        <v>14</v>
      </c>
    </row>
    <row customHeight="1" ht="14.699999999999998">
      <c r="K17" s="1614"/>
      <c r="V17" s="1614">
        <v>14</v>
      </c>
    </row>
    <row customHeight="1" ht="22.5" hidden="1">
      <c r="A18" s="1615" t="s">
        <v>82</v>
      </c>
      <c r="B18" s="1614">
        <v>0</v>
      </c>
      <c r="C18" s="458">
        <v>3</v>
      </c>
      <c r="D18" s="1614">
        <v>5</v>
      </c>
      <c r="E18" s="1614">
        <v>38</v>
      </c>
      <c r="F18" s="1614">
        <v>3</v>
      </c>
      <c r="G18" s="1614">
        <v>3</v>
      </c>
      <c r="H18" s="1614">
        <v>38</v>
      </c>
      <c r="I18" s="1614">
        <v>35</v>
      </c>
      <c r="J18" s="1614">
        <v>103</v>
      </c>
      <c r="K18" s="1616">
        <v>3</v>
      </c>
      <c r="L18" s="1621">
        <v>10</v>
      </c>
      <c r="M18" s="1621">
        <v>10</v>
      </c>
      <c r="N18" s="1621">
        <v>10</v>
      </c>
      <c r="O18" s="1621">
        <v>13</v>
      </c>
      <c r="P18" s="1621">
        <v>15</v>
      </c>
      <c r="Q18" s="1621">
        <v>16</v>
      </c>
      <c r="R18" s="1621">
        <v>10</v>
      </c>
      <c r="S18" s="1621">
        <v>10</v>
      </c>
      <c r="T18" s="1621">
        <v>10</v>
      </c>
      <c r="U18" s="1621">
        <v>10</v>
      </c>
      <c r="V18" s="1614">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DEB4EB-39E7-BECB-AF2D-A6CA379844B4}"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9" width="9.140625" hidden="1" customWidth="1"/>
    <col min="2" max="3" style="1642" width="9.140625" hidden="1" customWidth="1"/>
    <col min="4" max="4" style="1849" width="3.00390625" customWidth="1"/>
    <col min="5" max="5" style="1642" width="6.00390625" customWidth="1"/>
    <col min="6" max="6" style="1642" width="1.7109375" hidden="1" customWidth="1"/>
    <col min="7" max="8" style="1642" width="30.00390625" customWidth="1"/>
    <col min="9" max="9" style="1642" width="8.00390625" customWidth="1"/>
    <col min="10" max="10" style="1642" width="12.140625" customWidth="1"/>
    <col min="11" max="11" style="1642" width="46.00390625" customWidth="1"/>
    <col min="12" max="12" style="1642" width="100.00390625" customWidth="1"/>
    <col min="13" max="13" style="1826" width="7.00390625" customWidth="1"/>
    <col min="14" max="22" style="1642" width="10.00390625" customWidth="1"/>
    <col min="23" max="23" style="1642" width="10.57421875" hidden="1"/>
  </cols>
  <sheetData>
    <row s="1649" customFormat="1" customHeight="1" ht="5.25" hidden="1">
      <c r="C1" s="518"/>
      <c r="D1" s="501"/>
      <c r="F1" s="518"/>
      <c r="G1" s="496" t="s">
        <v>83</v>
      </c>
      <c r="H1" s="496" t="s">
        <v>84</v>
      </c>
      <c r="I1" s="496" t="s">
        <v>85</v>
      </c>
      <c r="P1" s="496" t="s">
        <v>83</v>
      </c>
      <c r="Q1" s="496" t="s">
        <v>84</v>
      </c>
      <c r="R1" s="496" t="s">
        <v>85</v>
      </c>
      <c r="W1" s="496" t="s">
        <v>14</v>
      </c>
    </row>
    <row s="1649" customFormat="1" customHeight="1" ht="5.25" hidden="1">
      <c r="C2" s="518"/>
      <c r="D2" s="501"/>
      <c r="F2" s="518"/>
      <c r="W2" s="496">
        <v>0</v>
      </c>
    </row>
    <row s="1619" customFormat="1" customHeight="1" ht="5.25">
      <c r="A3" s="486"/>
      <c r="D3" s="493"/>
      <c r="E3" s="488"/>
      <c r="F3" s="488"/>
      <c r="G3" s="488"/>
      <c r="H3" s="488"/>
      <c r="I3" s="489"/>
      <c r="J3" s="490"/>
      <c r="K3" s="490"/>
      <c r="L3" s="490"/>
      <c r="W3" s="487">
        <v>5</v>
      </c>
    </row>
    <row customHeight="1" ht="23.25">
      <c r="D4" s="457"/>
      <c r="E4" s="2245" t="s">
        <v>551</v>
      </c>
      <c r="F4" s="2245"/>
      <c r="G4" s="2246"/>
      <c r="H4" s="2246"/>
      <c r="I4" s="2247"/>
      <c r="J4" s="498"/>
      <c r="K4" s="460"/>
      <c r="L4" s="460"/>
      <c r="W4" s="454">
        <v>22</v>
      </c>
    </row>
    <row s="1642" customFormat="1" customHeight="1" ht="18">
      <c r="A5" s="766"/>
      <c r="D5" s="829"/>
      <c r="E5" s="2221" t="str">
        <f>IF(org=0,"Не определено",org)</f>
        <v>ГУП "Белоблводоканал"</v>
      </c>
      <c r="F5" s="2221"/>
      <c r="G5" s="2222"/>
      <c r="H5" s="2222"/>
      <c r="I5" s="2223"/>
      <c r="J5" s="498"/>
      <c r="K5" s="460"/>
      <c r="L5" s="460"/>
      <c r="M5" s="514"/>
      <c r="W5" s="765">
        <v>17</v>
      </c>
    </row>
    <row s="1619" customFormat="1" customHeight="1" ht="11.549999999999999">
      <c r="A6" s="486"/>
      <c r="D6" s="493"/>
      <c r="E6" s="488"/>
      <c r="F6" s="488"/>
      <c r="G6" s="491"/>
      <c r="H6" s="491"/>
      <c r="I6" s="492"/>
      <c r="J6" s="492"/>
      <c r="K6" s="759"/>
      <c r="L6" s="492"/>
      <c r="W6" s="487">
        <v>11</v>
      </c>
    </row>
    <row customHeight="1" ht="14.699999999999998">
      <c r="D7" s="457"/>
      <c r="E7" s="2215" t="s">
        <v>463</v>
      </c>
      <c r="F7" s="2215"/>
      <c r="G7" s="2216"/>
      <c r="H7" s="2216"/>
      <c r="I7" s="2216"/>
      <c r="J7" s="2216"/>
      <c r="K7" s="2216"/>
      <c r="L7" s="2230" t="s">
        <v>464</v>
      </c>
      <c r="W7" s="454">
        <v>14</v>
      </c>
    </row>
    <row customHeight="1" ht="48.29999999999999">
      <c r="D8" s="457"/>
      <c r="E8" s="480" t="s">
        <v>88</v>
      </c>
      <c r="F8" s="830"/>
      <c r="G8" s="472" t="s">
        <v>86</v>
      </c>
      <c r="H8" s="472" t="s">
        <v>87</v>
      </c>
      <c r="I8" s="421" t="s">
        <v>85</v>
      </c>
      <c r="J8" s="421" t="s">
        <v>552</v>
      </c>
      <c r="K8" s="421" t="s">
        <v>553</v>
      </c>
      <c r="L8" s="2230"/>
      <c r="W8" s="454">
        <v>46</v>
      </c>
    </row>
    <row customHeight="1" ht="12" hidden="1">
      <c r="D9" s="494"/>
      <c r="E9" s="500"/>
      <c r="F9" s="837"/>
      <c r="G9" s="500"/>
      <c r="H9" s="500"/>
      <c r="I9" s="500"/>
      <c r="J9" s="500"/>
      <c r="K9" s="500"/>
      <c r="L9" s="500"/>
      <c r="M9" s="454"/>
      <c r="W9" s="454">
        <v>0</v>
      </c>
    </row>
    <row customHeight="1" ht="14.25" hidden="1">
      <c r="A10" s="512"/>
      <c r="B10" s="512"/>
      <c r="D10" s="513"/>
      <c r="E10" s="519">
        <v>0</v>
      </c>
      <c r="F10" s="828"/>
      <c r="G10" s="515"/>
      <c r="H10" s="515"/>
      <c r="I10" s="515"/>
      <c r="J10" s="515"/>
      <c r="K10" s="515"/>
      <c r="L10" s="2228" t="s">
        <v>554</v>
      </c>
      <c r="M10" s="514"/>
      <c r="N10" s="512"/>
      <c r="O10" s="512"/>
      <c r="P10" s="512"/>
      <c r="Q10" s="512"/>
      <c r="R10" s="512"/>
      <c r="S10" s="512"/>
      <c r="T10" s="512"/>
      <c r="U10" s="512"/>
      <c r="V10" s="512"/>
      <c r="W10" s="454">
        <v>0</v>
      </c>
    </row>
    <row customHeight="1" ht="15" hidden="1">
      <c r="A11" s="2106"/>
      <c r="B11" s="511"/>
      <c r="C11" s="511"/>
      <c r="D11" s="872"/>
      <c r="E11" s="520"/>
      <c r="F11" s="520"/>
      <c r="G11" s="520"/>
      <c r="H11" s="520"/>
      <c r="I11" s="521"/>
      <c r="J11" s="522"/>
      <c r="K11" s="720"/>
      <c r="L11" s="2248"/>
      <c r="M11" s="518"/>
      <c r="N11" s="518"/>
      <c r="O11" s="518"/>
      <c r="P11" s="523"/>
      <c r="Q11" s="523"/>
      <c r="R11" s="524"/>
      <c r="S11" s="518"/>
      <c r="T11" s="518"/>
      <c r="U11" s="518"/>
      <c r="V11" s="518"/>
      <c r="W11" s="454">
        <v>0</v>
      </c>
    </row>
    <row s="1619" customFormat="1" customHeight="1" ht="15">
      <c r="A12" s="2106"/>
      <c r="B12" s="511"/>
      <c r="C12" s="511"/>
      <c r="D12" s="873"/>
      <c r="E12" s="830">
        <v>1</v>
      </c>
      <c r="F12" s="871">
        <v>23</v>
      </c>
      <c r="G12" s="870"/>
      <c r="H12" s="800"/>
      <c r="I12" s="798"/>
      <c r="J12" s="527" t="s">
        <v>66</v>
      </c>
      <c r="K12" s="1171" t="s">
        <v>28</v>
      </c>
      <c r="L12" s="2248"/>
      <c r="M12" s="518"/>
      <c r="N12" s="518"/>
      <c r="O12" s="518"/>
      <c r="P12" s="523" t="s">
        <v>555</v>
      </c>
      <c r="Q12" s="523" t="s">
        <v>556</v>
      </c>
      <c r="R12" s="524" t="s">
        <v>557</v>
      </c>
      <c r="S12" s="518" t="s">
        <v>558</v>
      </c>
      <c r="T12" s="518"/>
      <c r="U12" s="518"/>
      <c r="V12" s="518"/>
      <c r="W12" s="487">
        <v>14</v>
      </c>
    </row>
    <row customHeight="1" ht="15.75">
      <c r="A13" s="2106"/>
      <c r="B13" s="512"/>
      <c r="D13" s="513"/>
      <c r="E13" s="412"/>
      <c r="F13" s="536"/>
      <c r="G13" s="423" t="s">
        <v>106</v>
      </c>
      <c r="H13" s="411"/>
      <c r="I13" s="411"/>
      <c r="J13" s="411"/>
      <c r="K13" s="410"/>
      <c r="L13" s="2229"/>
      <c r="M13" s="516"/>
      <c r="N13" s="512"/>
      <c r="O13" s="512"/>
      <c r="P13" s="512"/>
      <c r="Q13" s="512"/>
      <c r="R13" s="512"/>
      <c r="S13" s="512"/>
      <c r="T13" s="512"/>
      <c r="U13" s="512"/>
      <c r="V13" s="512"/>
      <c r="W13" s="454">
        <v>15</v>
      </c>
    </row>
    <row customHeight="1" ht="11.549999999999999">
      <c r="A14" s="486"/>
      <c r="B14" s="487"/>
      <c r="C14" s="487"/>
      <c r="D14" s="502"/>
      <c r="E14" s="487"/>
      <c r="F14" s="487"/>
      <c r="G14" s="487"/>
      <c r="H14" s="487"/>
      <c r="I14" s="487"/>
      <c r="J14" s="487"/>
      <c r="K14" s="487"/>
      <c r="L14" s="487"/>
      <c r="M14" s="487"/>
      <c r="N14" s="487"/>
      <c r="O14" s="487"/>
      <c r="P14" s="487"/>
      <c r="Q14" s="487"/>
      <c r="R14" s="487"/>
      <c r="S14" s="487"/>
      <c r="T14" s="487"/>
      <c r="U14" s="487"/>
      <c r="V14" s="487"/>
      <c r="W14" s="454">
        <v>11</v>
      </c>
    </row>
    <row customHeight="1" ht="14.699999999999998">
      <c r="D15" s="473"/>
      <c r="E15" s="343"/>
      <c r="F15" s="343"/>
      <c r="G15" s="67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73"/>
      <c r="I15" s="473"/>
      <c r="J15" s="473"/>
      <c r="K15" s="473"/>
      <c r="L15" s="473"/>
      <c r="W15" s="454">
        <v>14</v>
      </c>
    </row>
    <row customHeight="1" ht="14.699999999999998">
      <c r="W16" s="454">
        <v>14</v>
      </c>
    </row>
    <row customHeight="1" ht="14.699999999999998">
      <c r="W17" s="454">
        <v>14</v>
      </c>
    </row>
    <row customHeight="1" ht="14.699999999999998">
      <c r="G18" s="512"/>
      <c r="W18" s="454">
        <v>14</v>
      </c>
    </row>
    <row customHeight="1" ht="22.5" hidden="1">
      <c r="A19" s="456" t="s">
        <v>82</v>
      </c>
      <c r="B19" s="454">
        <v>0</v>
      </c>
      <c r="C19" s="765">
        <v>0</v>
      </c>
      <c r="D19" s="458">
        <v>3</v>
      </c>
      <c r="E19" s="454">
        <v>6</v>
      </c>
      <c r="F19" s="765">
        <v>0</v>
      </c>
      <c r="G19" s="454">
        <v>30</v>
      </c>
      <c r="H19" s="454">
        <v>30</v>
      </c>
      <c r="I19" s="454">
        <v>8</v>
      </c>
      <c r="J19" s="454">
        <v>12</v>
      </c>
      <c r="K19" s="454">
        <v>46</v>
      </c>
      <c r="L19" s="454">
        <v>100</v>
      </c>
      <c r="M19" s="459">
        <v>7</v>
      </c>
      <c r="N19" s="454">
        <v>10</v>
      </c>
      <c r="O19" s="454">
        <v>10</v>
      </c>
      <c r="P19" s="454">
        <v>10</v>
      </c>
      <c r="Q19" s="454">
        <v>10</v>
      </c>
      <c r="R19" s="454">
        <v>10</v>
      </c>
      <c r="S19" s="454">
        <v>10</v>
      </c>
      <c r="T19" s="454">
        <v>10</v>
      </c>
      <c r="U19" s="454">
        <v>10</v>
      </c>
      <c r="V19" s="454">
        <v>10</v>
      </c>
      <c r="W19" s="454">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6DD2F9-AD7A-0B09-F89D-C12055F7DDA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16">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11"/>
      <c r="Q3" s="359"/>
      <c r="R3" s="360"/>
      <c r="S3" s="1316">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1316">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360"/>
      <c r="S5" s="1316">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507"/>
      <c r="AP5" s="507" t="str">
        <f>IF(T5="","",T5)</f>
        <v>Источник тепловой энергии  </v>
      </c>
      <c r="AQ5" s="507"/>
      <c r="AR5" s="507"/>
      <c r="AS5" s="1162">
        <v>0</v>
      </c>
    </row>
    <row customHeight="1" ht="47.25" hidden="1">
      <c r="A6" s="1370"/>
      <c r="B6" s="1370"/>
      <c r="C6" s="1370"/>
      <c r="D6" s="1370"/>
      <c r="E6" s="2266"/>
      <c r="F6" s="2266"/>
      <c r="G6" s="2266"/>
      <c r="H6" s="2266"/>
      <c r="I6" s="2263">
        <f>S5&amp;".1"</f>
      </c>
      <c r="J6" s="1370"/>
      <c r="K6" s="1370"/>
      <c r="L6" s="1371" t="s">
        <v>566</v>
      </c>
      <c r="M6" s="544"/>
      <c r="P6" s="2264">
        <v>1</v>
      </c>
      <c r="Q6" s="1312"/>
      <c r="R6" s="363"/>
      <c r="S6" s="1316">
        <f>$I6</f>
      </c>
      <c r="T6" s="292" t="s">
        <v>567</v>
      </c>
      <c r="U6" s="307"/>
      <c r="V6" s="2252"/>
      <c r="W6" s="2253"/>
      <c r="X6" s="2253"/>
      <c r="Y6" s="2253"/>
      <c r="Z6" s="2253"/>
      <c r="AA6" s="2253"/>
      <c r="AB6" s="2253"/>
      <c r="AC6" s="2254"/>
      <c r="AD6" s="2252"/>
      <c r="AE6" s="2253"/>
      <c r="AF6" s="2253"/>
      <c r="AG6" s="2253"/>
      <c r="AH6" s="2253"/>
      <c r="AI6" s="2253"/>
      <c r="AJ6" s="2253"/>
      <c r="AK6" s="2253"/>
      <c r="AL6" s="2254"/>
      <c r="AM6" s="1265" t="s">
        <v>568</v>
      </c>
      <c r="AO6" s="507"/>
      <c r="AP6" s="507" t="str">
        <f>IF(T6="","",T6)</f>
        <v>Схема подключения теплопотребляющей установки к коллектору источника тепловой энергии</v>
      </c>
      <c r="AQ6" s="507"/>
      <c r="AR6" s="507"/>
      <c r="AS6" s="1162">
        <v>0</v>
      </c>
    </row>
    <row customHeight="1" ht="21" hidden="1">
      <c r="A7" s="1370"/>
      <c r="B7" s="1370"/>
      <c r="C7" s="1370"/>
      <c r="D7" s="1370"/>
      <c r="E7" s="2266"/>
      <c r="F7" s="2266"/>
      <c r="G7" s="2266"/>
      <c r="H7" s="2266"/>
      <c r="I7" s="2293"/>
      <c r="J7" s="2263">
        <f>I6&amp;".1"</f>
      </c>
      <c r="K7" s="1370"/>
      <c r="L7" s="1371" t="s">
        <v>569</v>
      </c>
      <c r="M7" s="544"/>
      <c r="N7" s="1373"/>
      <c r="P7" s="2264"/>
      <c r="Q7" s="2264">
        <v>1</v>
      </c>
      <c r="R7" s="364"/>
      <c r="S7" s="1316">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507"/>
      <c r="AP7" s="507" t="str">
        <f>IF(T7="","",T7)</f>
        <v>Группа потребителей</v>
      </c>
      <c r="AQ7" s="507"/>
      <c r="AR7" s="507"/>
      <c r="AS7" s="1162">
        <v>0</v>
      </c>
    </row>
    <row customHeight="1" ht="21" hidden="1">
      <c r="A8" s="1370"/>
      <c r="B8" s="1370"/>
      <c r="C8" s="1370"/>
      <c r="D8" s="1370"/>
      <c r="E8" s="2266"/>
      <c r="F8" s="2266"/>
      <c r="G8" s="2266"/>
      <c r="H8" s="2266"/>
      <c r="I8" s="2293"/>
      <c r="J8" s="2293"/>
      <c r="K8" s="2263">
        <f>J7&amp;".1"</f>
      </c>
      <c r="L8" s="1371" t="s">
        <v>572</v>
      </c>
      <c r="M8" s="544"/>
      <c r="N8" s="1373"/>
      <c r="O8" s="1373"/>
      <c r="P8" s="2264"/>
      <c r="Q8" s="2264"/>
      <c r="R8" s="364">
        <v>1</v>
      </c>
      <c r="S8" s="1316">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518">
        <f>STRCHECKDATE(V9:AL9)</f>
      </c>
      <c r="AO8" s="507"/>
      <c r="AP8" s="507" t="str">
        <f>IF(T8="","",T8)</f>
        <v/>
      </c>
      <c r="AQ8" s="507"/>
      <c r="AR8" s="507"/>
      <c r="AS8" s="1162">
        <v>0</v>
      </c>
    </row>
    <row customHeight="1" ht="0.75" hidden="1">
      <c r="A9" s="1370"/>
      <c r="B9" s="1370"/>
      <c r="C9" s="1370"/>
      <c r="D9" s="1370"/>
      <c r="E9" s="2266"/>
      <c r="F9" s="2266"/>
      <c r="G9" s="2266"/>
      <c r="H9" s="2266"/>
      <c r="I9" s="2293"/>
      <c r="J9" s="2293"/>
      <c r="K9" s="2263"/>
      <c r="L9" s="1371"/>
      <c r="M9" s="544"/>
      <c r="N9" s="1373"/>
      <c r="O9" s="1373"/>
      <c r="P9" s="2264"/>
      <c r="Q9" s="2264"/>
      <c r="R9" s="364"/>
      <c r="S9" s="1313"/>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5" hidden="1">
      <c r="A10" s="1370"/>
      <c r="B10" s="1370"/>
      <c r="C10" s="1370"/>
      <c r="D10" s="1370"/>
      <c r="E10" s="2266"/>
      <c r="F10" s="2266"/>
      <c r="G10" s="2266"/>
      <c r="H10" s="2266"/>
      <c r="I10" s="2293"/>
      <c r="J10" s="2263"/>
      <c r="K10" s="1370"/>
      <c r="L10" s="1371"/>
      <c r="M10" s="544"/>
      <c r="N10" s="1373"/>
      <c r="P10" s="2264"/>
      <c r="Q10" s="2264"/>
      <c r="R10" s="363"/>
      <c r="S10" s="1285"/>
      <c r="T10" s="295"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5" hidden="1">
      <c r="A11" s="1370"/>
      <c r="B11" s="1370"/>
      <c r="C11" s="1370"/>
      <c r="D11" s="1370"/>
      <c r="E11" s="2266"/>
      <c r="F11" s="2266"/>
      <c r="G11" s="2266"/>
      <c r="H11" s="2266"/>
      <c r="I11" s="2263"/>
      <c r="J11" s="1370"/>
      <c r="K11" s="1370"/>
      <c r="L11" s="1371"/>
      <c r="M11" s="544"/>
      <c r="P11" s="2264"/>
      <c r="Q11" s="1312"/>
      <c r="R11" s="363"/>
      <c r="S11" s="1285"/>
      <c r="T11" s="294"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14.25" hidden="1">
      <c r="A12" s="1370"/>
      <c r="B12" s="1370"/>
      <c r="C12" s="1370"/>
      <c r="D12" s="1370"/>
      <c r="E12" s="2266"/>
      <c r="F12" s="2266"/>
      <c r="G12" s="2266"/>
      <c r="H12" s="2265"/>
      <c r="I12" s="1370"/>
      <c r="J12" s="1370"/>
      <c r="K12" s="1370"/>
      <c r="L12" s="1371"/>
      <c r="M12" s="1372"/>
      <c r="N12" s="1372"/>
      <c r="O12" s="544"/>
      <c r="P12" s="367"/>
      <c r="Q12" s="382"/>
      <c r="R12" s="362"/>
      <c r="S12" s="1285"/>
      <c r="T12" s="372" t="s">
        <v>576</v>
      </c>
      <c r="U12" s="374"/>
      <c r="V12" s="374"/>
      <c r="W12" s="374"/>
      <c r="X12" s="374"/>
      <c r="Y12" s="374"/>
      <c r="Z12" s="374"/>
      <c r="AA12" s="374"/>
      <c r="AB12" s="374"/>
      <c r="AC12" s="373"/>
      <c r="AD12" s="374"/>
      <c r="AE12" s="374"/>
      <c r="AF12" s="374"/>
      <c r="AG12" s="374"/>
      <c r="AH12" s="374"/>
      <c r="AI12" s="374"/>
      <c r="AJ12" s="374"/>
      <c r="AK12" s="373"/>
      <c r="AL12" s="374"/>
      <c r="AM12" s="310"/>
      <c r="AO12" s="507"/>
      <c r="AP12" s="507" t="str">
        <f>IF(T12="","",T12)</f>
        <v>Добавить схему подключения</v>
      </c>
      <c r="AQ12" s="507"/>
      <c r="AR12" s="507"/>
      <c r="AS12" s="1162">
        <v>0</v>
      </c>
    </row>
    <row s="1649" customFormat="1" customHeight="1" ht="0.7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0.7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0.7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P17" s="1318"/>
      <c r="AD17" s="1367"/>
      <c r="AE17" s="1367"/>
      <c r="AF17" s="1367"/>
      <c r="AG17" s="1368"/>
      <c r="AH17" s="2274"/>
      <c r="AI17" s="2275" t="s">
        <v>66</v>
      </c>
      <c r="AJ17" s="2274"/>
      <c r="AK17" s="2275" t="s">
        <v>66</v>
      </c>
      <c r="AS17" s="1162">
        <v>0</v>
      </c>
    </row>
    <row customHeight="1" ht="14.25" hidden="1">
      <c r="P18" s="1318"/>
      <c r="AD18" s="1367"/>
      <c r="AE18" s="1367"/>
      <c r="AF18" s="1367"/>
      <c r="AG18" s="335" t="str">
        <f>AH17&amp;"-"&amp;AJ17</f>
        <v>-</v>
      </c>
      <c r="AH18" s="2275"/>
      <c r="AI18" s="2275"/>
      <c r="AJ18" s="2275"/>
      <c r="AK18" s="2275"/>
      <c r="AS18" s="1162">
        <v>0</v>
      </c>
    </row>
    <row customHeight="1" ht="14.25" hidden="1">
      <c r="P19" s="1318"/>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14.2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P23" s="1318"/>
      <c r="AS23" s="1162">
        <v>0</v>
      </c>
    </row>
    <row customHeight="1" ht="14.25" hidden="1">
      <c r="O24" s="1371"/>
      <c r="P24" s="1318"/>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14.699999999999998">
      <c r="Q26" s="383"/>
      <c r="R26" s="383"/>
      <c r="S26" s="225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5"/>
      <c r="U26" s="2255"/>
      <c r="V26" s="2255"/>
      <c r="W26" s="2255"/>
      <c r="X26" s="2255"/>
      <c r="Y26" s="2255"/>
      <c r="Z26" s="2255"/>
      <c r="AA26" s="2255"/>
      <c r="AB26" s="2255"/>
      <c r="AC26" s="2255"/>
      <c r="AD26" s="2255"/>
      <c r="AE26" s="2255"/>
      <c r="AF26" s="2255"/>
      <c r="AG26" s="2255"/>
      <c r="AH26" s="2255"/>
      <c r="AI26" s="2255"/>
      <c r="AJ26" s="2255"/>
      <c r="AK26" s="1250"/>
      <c r="AS26" s="1162">
        <v>14</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P33" s="133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18.7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226"/>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162">
        <v>14</v>
      </c>
    </row>
    <row customHeight="1" ht="35.699999999999996">
      <c r="Q40" s="383"/>
      <c r="R40" s="383"/>
      <c r="S40" s="2280"/>
      <c r="T40" s="2216"/>
      <c r="U40" s="1038"/>
      <c r="V40" s="2267" t="s">
        <v>594</v>
      </c>
      <c r="W40" s="2617" t="s">
        <v>595</v>
      </c>
      <c r="X40" s="2269" t="s">
        <v>596</v>
      </c>
      <c r="Y40" s="2270"/>
      <c r="Z40" s="2269" t="s">
        <v>597</v>
      </c>
      <c r="AA40" s="2276"/>
      <c r="AB40" s="2270"/>
      <c r="AC40" s="2285"/>
      <c r="AD40" s="2267" t="s">
        <v>594</v>
      </c>
      <c r="AE40" s="2290" t="s">
        <v>595</v>
      </c>
      <c r="AF40" s="2269" t="s">
        <v>596</v>
      </c>
      <c r="AG40" s="2270"/>
      <c r="AH40" s="2269" t="s">
        <v>597</v>
      </c>
      <c r="AI40" s="2276"/>
      <c r="AJ40" s="2270"/>
      <c r="AK40" s="2285"/>
      <c r="AL40" s="2288"/>
      <c r="AM40" s="2134"/>
      <c r="AS40" s="1162">
        <v>34</v>
      </c>
    </row>
    <row customHeight="1" ht="35.699999999999996">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Q41" s="383"/>
      <c r="R41" s="383"/>
      <c r="S41" s="2280"/>
      <c r="T41" s="2216"/>
      <c r="U41" s="309"/>
      <c r="V41" s="2268"/>
      <c r="W41" s="2291"/>
      <c r="X41" s="1229" t="s">
        <v>605</v>
      </c>
      <c r="Y41" s="1229" t="s">
        <v>606</v>
      </c>
      <c r="Z41" s="1228" t="s">
        <v>607</v>
      </c>
      <c r="AA41" s="2277" t="s">
        <v>608</v>
      </c>
      <c r="AB41" s="2278"/>
      <c r="AC41" s="2286"/>
      <c r="AD41" s="2268"/>
      <c r="AE41" s="2291"/>
      <c r="AF41" s="1229" t="s">
        <v>605</v>
      </c>
      <c r="AG41" s="1229" t="s">
        <v>606</v>
      </c>
      <c r="AH41" s="1320" t="s">
        <v>607</v>
      </c>
      <c r="AI41" s="2277" t="s">
        <v>608</v>
      </c>
      <c r="AJ41" s="2278"/>
      <c r="AK41" s="2286"/>
      <c r="AL41" s="2289"/>
      <c r="AM41" s="2134"/>
      <c r="AS41" s="1162">
        <v>34</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263">
        <f>OFFSET(V42,0,-1)+1</f>
        <v>3</v>
      </c>
      <c r="W42" s="1263"/>
      <c r="X42" s="1263">
        <f>OFFSET(X42,0,-1)+1</f>
        <v>1</v>
      </c>
      <c r="Y42" s="1263">
        <f>OFFSET(Y42,0,-1)+1</f>
        <v>2</v>
      </c>
      <c r="Z42" s="1263">
        <f>OFFSET(Z42,0,-1)+1</f>
        <v>3</v>
      </c>
      <c r="AA42" s="2279">
        <f>OFFSET(AA42,0,-1)+1</f>
        <v>4</v>
      </c>
      <c r="AB42" s="2279"/>
      <c r="AC42" s="1263">
        <f>OFFSET(AC42,0,-2)+1</f>
        <v>5</v>
      </c>
      <c r="AD42" s="1319">
        <f>OFFSET(AD42,0,-1)+1</f>
        <v>6</v>
      </c>
      <c r="AE42" s="1319"/>
      <c r="AF42" s="1319">
        <f>OFFSET(AF42,0,-1)+1</f>
        <v>1</v>
      </c>
      <c r="AG42" s="1319">
        <f>OFFSET(AG42,0,-1)+1</f>
        <v>2</v>
      </c>
      <c r="AH42" s="1319">
        <f>OFFSET(AH42,0,-1)+1</f>
        <v>3</v>
      </c>
      <c r="AI42" s="2279">
        <f>OFFSET(AI42,0,-1)+1</f>
        <v>4</v>
      </c>
      <c r="AJ42" s="2279"/>
      <c r="AK42" s="1319">
        <f>OFFSET(AK42,0,-2)+1</f>
        <v>5</v>
      </c>
      <c r="AL42" s="1252">
        <f>OFFSET(AL42,0,-1)</f>
        <v>5</v>
      </c>
      <c r="AM42" s="1263">
        <f>OFFSET(AM42,0,-1)+1</f>
        <v>6</v>
      </c>
      <c r="AN42" s="518"/>
      <c r="AO42" s="518"/>
      <c r="AP42" s="518"/>
      <c r="AQ42" s="518"/>
      <c r="AR42" s="518"/>
      <c r="AS42" s="503">
        <v>0</v>
      </c>
    </row>
    <row customHeight="1" ht="24">
      <c r="A43" s="1370" t="s">
        <v>242</v>
      </c>
      <c r="B43" s="1370"/>
      <c r="C43" s="1370"/>
      <c r="D43" s="1370"/>
      <c r="E43" s="2265">
        <v>1</v>
      </c>
      <c r="F43" s="1370"/>
      <c r="G43" s="1370"/>
      <c r="H43" s="1370"/>
      <c r="I43" s="1370"/>
      <c r="J43" s="1370"/>
      <c r="K43" s="1370"/>
      <c r="L43" s="1371"/>
      <c r="M43" s="1372"/>
      <c r="N43" s="1372"/>
      <c r="O43" s="1372"/>
      <c r="P43" s="368"/>
      <c r="Q43" s="367"/>
      <c r="R43" s="362"/>
      <c r="S43" s="1231">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23</v>
      </c>
    </row>
    <row customHeight="1" ht="24">
      <c r="A44" s="1370" t="s">
        <v>242</v>
      </c>
      <c r="B44" s="1370" t="s">
        <v>243</v>
      </c>
      <c r="C44" s="1370"/>
      <c r="D44" s="1370"/>
      <c r="E44" s="2266"/>
      <c r="F44" s="2265">
        <v>1</v>
      </c>
      <c r="G44" s="1370"/>
      <c r="H44" s="1370"/>
      <c r="I44" s="1370"/>
      <c r="J44" s="1370"/>
      <c r="K44" s="1370"/>
      <c r="L44" s="1371"/>
      <c r="M44" s="1372"/>
      <c r="N44" s="1372"/>
      <c r="O44" s="1372"/>
      <c r="P44" s="529"/>
      <c r="Q44" s="359"/>
      <c r="R44" s="360"/>
      <c r="S44" s="1231"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23</v>
      </c>
    </row>
    <row customHeight="1" ht="24">
      <c r="A45" s="1370" t="s">
        <v>242</v>
      </c>
      <c r="B45" s="1370" t="s">
        <v>243</v>
      </c>
      <c r="C45" s="1370" t="s">
        <v>244</v>
      </c>
      <c r="D45" s="1370"/>
      <c r="E45" s="2266"/>
      <c r="F45" s="2266"/>
      <c r="G45" s="2265">
        <v>1</v>
      </c>
      <c r="H45" s="1370"/>
      <c r="I45" s="1370"/>
      <c r="J45" s="1370"/>
      <c r="K45" s="1370"/>
      <c r="L45" s="1371"/>
      <c r="M45" s="1372"/>
      <c r="N45" s="1372"/>
      <c r="O45" s="1372"/>
      <c r="P45" s="361"/>
      <c r="Q45" s="359"/>
      <c r="R45" s="360"/>
      <c r="S45" s="1231"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4">
      <c r="A46" s="1370" t="s">
        <v>242</v>
      </c>
      <c r="B46" s="1370" t="s">
        <v>243</v>
      </c>
      <c r="C46" s="1370" t="s">
        <v>244</v>
      </c>
      <c r="D46" s="1370" t="s">
        <v>245</v>
      </c>
      <c r="E46" s="2266"/>
      <c r="F46" s="2266"/>
      <c r="G46" s="2266"/>
      <c r="H46" s="2265">
        <v>1</v>
      </c>
      <c r="I46" s="1370"/>
      <c r="J46" s="1370"/>
      <c r="K46" s="1370"/>
      <c r="L46" s="1371"/>
      <c r="M46" s="1372"/>
      <c r="N46" s="1372"/>
      <c r="O46" s="1372"/>
      <c r="P46" s="361"/>
      <c r="Q46" s="359"/>
      <c r="R46" s="360"/>
      <c r="S46" s="1231"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23</v>
      </c>
    </row>
    <row customHeight="1" ht="49.5">
      <c r="A47" s="1370" t="s">
        <v>242</v>
      </c>
      <c r="B47" s="1370" t="s">
        <v>243</v>
      </c>
      <c r="C47" s="1370" t="s">
        <v>244</v>
      </c>
      <c r="D47" s="1370" t="s">
        <v>245</v>
      </c>
      <c r="E47" s="2266"/>
      <c r="F47" s="2266"/>
      <c r="G47" s="2266"/>
      <c r="H47" s="2266"/>
      <c r="I47" s="2263" t="str">
        <f>S46&amp;".1"</f>
        <v>....1</v>
      </c>
      <c r="J47" s="1370"/>
      <c r="K47" s="1370"/>
      <c r="L47" s="1371" t="s">
        <v>566</v>
      </c>
      <c r="P47" s="2264">
        <v>1</v>
      </c>
      <c r="Q47" s="1227"/>
      <c r="R47" s="363"/>
      <c r="S47" s="1231" t="str">
        <f>$I47</f>
        <v>....1</v>
      </c>
      <c r="T47" s="292" t="s">
        <v>567</v>
      </c>
      <c r="U47" s="307"/>
      <c r="V47" s="2252"/>
      <c r="W47" s="2253"/>
      <c r="X47" s="2253"/>
      <c r="Y47" s="2253"/>
      <c r="Z47" s="2253"/>
      <c r="AA47" s="2253"/>
      <c r="AB47" s="2253"/>
      <c r="AC47" s="2254"/>
      <c r="AD47" s="2252"/>
      <c r="AE47" s="2253"/>
      <c r="AF47" s="2253"/>
      <c r="AG47" s="2253"/>
      <c r="AH47" s="2253"/>
      <c r="AI47" s="2253"/>
      <c r="AJ47" s="2253"/>
      <c r="AK47" s="2253"/>
      <c r="AL47" s="2254"/>
      <c r="AM47" s="1265" t="s">
        <v>568</v>
      </c>
      <c r="AO47" s="507"/>
      <c r="AP47" s="507" t="str">
        <f>IF(T47="","",T47)</f>
        <v>Схема подключения теплопотребляющей установки к коллектору источника тепловой энергии</v>
      </c>
      <c r="AQ47" s="507"/>
      <c r="AR47" s="507"/>
      <c r="AS47" s="1162">
        <v>47</v>
      </c>
    </row>
    <row customHeight="1" ht="24">
      <c r="A48" s="1370" t="s">
        <v>242</v>
      </c>
      <c r="B48" s="1370" t="s">
        <v>243</v>
      </c>
      <c r="C48" s="1370" t="s">
        <v>244</v>
      </c>
      <c r="D48" s="1370" t="s">
        <v>245</v>
      </c>
      <c r="E48" s="2266"/>
      <c r="F48" s="2266"/>
      <c r="G48" s="2266"/>
      <c r="H48" s="2266"/>
      <c r="I48" s="2293"/>
      <c r="J48" s="2263" t="str">
        <f>I47&amp;".1"</f>
        <v>....1.1</v>
      </c>
      <c r="K48" s="1370"/>
      <c r="L48" s="1371" t="s">
        <v>569</v>
      </c>
      <c r="P48" s="2264"/>
      <c r="Q48" s="2264">
        <v>1</v>
      </c>
      <c r="R48" s="364"/>
      <c r="S48" s="1231" t="str">
        <f>$J48</f>
        <v>....1.1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23</v>
      </c>
    </row>
    <row customHeight="1" ht="24">
      <c r="A49" s="1370" t="s">
        <v>242</v>
      </c>
      <c r="B49" s="1370" t="s">
        <v>243</v>
      </c>
      <c r="C49" s="1370" t="s">
        <v>244</v>
      </c>
      <c r="D49" s="1370" t="s">
        <v>245</v>
      </c>
      <c r="E49" s="2266"/>
      <c r="F49" s="2266"/>
      <c r="G49" s="2266"/>
      <c r="H49" s="2266"/>
      <c r="I49" s="2293"/>
      <c r="J49" s="2293"/>
      <c r="K49" s="2263" t="str">
        <f>J48&amp;".1"</f>
        <v>....1.1.1</v>
      </c>
      <c r="L49" s="1371" t="s">
        <v>572</v>
      </c>
      <c r="P49" s="2264"/>
      <c r="Q49" s="2264"/>
      <c r="R49" s="364">
        <v>1</v>
      </c>
      <c r="S49" s="1231" t="str">
        <f>$K49</f>
        <v>....1.1.1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573</v>
      </c>
      <c r="AN49" s="518">
        <f>STRCHECKDATE(V50:AL50)</f>
      </c>
      <c r="AO49" s="507"/>
      <c r="AP49" s="507" t="str">
        <f>IF(T49="","",T49)</f>
        <v/>
      </c>
      <c r="AQ49" s="507"/>
      <c r="AR49" s="507"/>
      <c r="AS49" s="1162">
        <v>23</v>
      </c>
    </row>
    <row customHeight="1" ht="1.05">
      <c r="A50" s="1370" t="s">
        <v>242</v>
      </c>
      <c r="B50" s="1370" t="s">
        <v>243</v>
      </c>
      <c r="C50" s="1370" t="s">
        <v>244</v>
      </c>
      <c r="D50" s="1370" t="s">
        <v>245</v>
      </c>
      <c r="E50" s="2266"/>
      <c r="F50" s="2266"/>
      <c r="G50" s="2266"/>
      <c r="H50" s="2266"/>
      <c r="I50" s="2293"/>
      <c r="J50" s="2293"/>
      <c r="K50" s="2263"/>
      <c r="L50" s="1371"/>
      <c r="P50" s="2264"/>
      <c r="Q50" s="2264"/>
      <c r="R50" s="364"/>
      <c r="S50" s="1230"/>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1</v>
      </c>
    </row>
    <row customHeight="1" ht="11.549999999999999">
      <c r="A51" s="1370" t="s">
        <v>242</v>
      </c>
      <c r="B51" s="1370" t="s">
        <v>243</v>
      </c>
      <c r="C51" s="1370" t="s">
        <v>244</v>
      </c>
      <c r="D51" s="1370" t="s">
        <v>245</v>
      </c>
      <c r="E51" s="2266"/>
      <c r="F51" s="2266"/>
      <c r="G51" s="2266"/>
      <c r="H51" s="2266"/>
      <c r="I51" s="2293"/>
      <c r="J51" s="2263"/>
      <c r="K51" s="1370"/>
      <c r="L51" s="1371"/>
      <c r="P51" s="2264"/>
      <c r="Q51" s="2264"/>
      <c r="R51" s="363"/>
      <c r="S51" s="1285"/>
      <c r="T51" s="295"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242</v>
      </c>
      <c r="B52" s="1370" t="s">
        <v>243</v>
      </c>
      <c r="C52" s="1370" t="s">
        <v>244</v>
      </c>
      <c r="D52" s="1370" t="s">
        <v>245</v>
      </c>
      <c r="E52" s="2266"/>
      <c r="F52" s="2266"/>
      <c r="G52" s="2266"/>
      <c r="H52" s="2266"/>
      <c r="I52" s="2263"/>
      <c r="J52" s="1370"/>
      <c r="K52" s="1370"/>
      <c r="L52" s="1371"/>
      <c r="P52" s="2264"/>
      <c r="Q52" s="1227"/>
      <c r="R52" s="363"/>
      <c r="S52" s="1285"/>
      <c r="T52" s="294"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14.699999999999998">
      <c r="A53" s="1370" t="s">
        <v>242</v>
      </c>
      <c r="B53" s="1370" t="s">
        <v>243</v>
      </c>
      <c r="C53" s="1370" t="s">
        <v>244</v>
      </c>
      <c r="D53" s="1370" t="s">
        <v>245</v>
      </c>
      <c r="E53" s="2266"/>
      <c r="F53" s="2266"/>
      <c r="G53" s="2266"/>
      <c r="H53" s="2265"/>
      <c r="I53" s="1370"/>
      <c r="J53" s="1370"/>
      <c r="K53" s="1370"/>
      <c r="L53" s="1371"/>
      <c r="M53" s="1372"/>
      <c r="N53" s="1372"/>
      <c r="O53" s="544"/>
      <c r="P53" s="367"/>
      <c r="Q53" s="382"/>
      <c r="R53" s="362"/>
      <c r="S53" s="1285"/>
      <c r="T53" s="372" t="s">
        <v>576</v>
      </c>
      <c r="U53" s="374"/>
      <c r="V53" s="374"/>
      <c r="W53" s="374"/>
      <c r="X53" s="374"/>
      <c r="Y53" s="374"/>
      <c r="Z53" s="374"/>
      <c r="AA53" s="374"/>
      <c r="AB53" s="374"/>
      <c r="AC53" s="373"/>
      <c r="AD53" s="374"/>
      <c r="AE53" s="374"/>
      <c r="AF53" s="374"/>
      <c r="AG53" s="374"/>
      <c r="AH53" s="374"/>
      <c r="AI53" s="374"/>
      <c r="AJ53" s="374"/>
      <c r="AK53" s="373"/>
      <c r="AL53" s="374"/>
      <c r="AM53" s="310"/>
      <c r="AO53" s="507"/>
      <c r="AP53" s="507" t="str">
        <f>IF(T53="","",T53)</f>
        <v>Добавить схему подключения</v>
      </c>
      <c r="AQ53" s="507"/>
      <c r="AR53" s="507"/>
      <c r="AS53" s="1162">
        <v>14</v>
      </c>
    </row>
    <row s="1649" customFormat="1" customHeight="1" ht="1.05">
      <c r="A54" s="1350" t="s">
        <v>242</v>
      </c>
      <c r="B54" s="1350" t="s">
        <v>243</v>
      </c>
      <c r="C54" s="1350" t="s">
        <v>244</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1</v>
      </c>
    </row>
    <row s="1649" customFormat="1" customHeight="1" ht="1.05">
      <c r="A55" s="1350" t="s">
        <v>242</v>
      </c>
      <c r="B55" s="1350" t="s">
        <v>243</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1</v>
      </c>
    </row>
    <row s="1649" customFormat="1" customHeight="1" ht="1.05">
      <c r="A56" s="1350" t="s">
        <v>242</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1</v>
      </c>
    </row>
    <row s="1649" customFormat="1" customHeight="1" ht="1.05">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1</v>
      </c>
    </row>
    <row customHeight="1" ht="11.549999999999999">
      <c r="M58" s="1167"/>
      <c r="N58" s="1167"/>
      <c r="O58" s="544"/>
      <c r="P58" s="1162"/>
      <c r="Q58" s="1162"/>
      <c r="R58" s="1162"/>
      <c r="S58" s="1162"/>
      <c r="AN58" s="1162"/>
      <c r="AO58" s="1162"/>
      <c r="AP58" s="1162"/>
      <c r="AQ58" s="1162"/>
      <c r="AR58" s="1162"/>
      <c r="AS58" s="1162">
        <v>11</v>
      </c>
    </row>
    <row customHeight="1" ht="28.5">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27</v>
      </c>
    </row>
    <row customHeight="1" ht="67.2">
      <c r="O60" s="544"/>
      <c r="P60" s="1310"/>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64</v>
      </c>
    </row>
    <row customHeight="1" ht="14.699999999999998">
      <c r="O61" s="544"/>
      <c r="AS61" s="1162">
        <v>14</v>
      </c>
    </row>
    <row customHeight="1" ht="18.75">
      <c r="O62" s="544"/>
      <c r="P62" s="1335"/>
      <c r="S62" s="1260"/>
      <c r="T62" s="2292"/>
      <c r="U62" s="2292"/>
      <c r="V62" s="2292"/>
      <c r="W62" s="2292"/>
      <c r="X62" s="2292"/>
      <c r="Y62" s="2292"/>
      <c r="Z62" s="2292"/>
      <c r="AA62" s="2292"/>
      <c r="AB62" s="2292"/>
      <c r="AC62" s="2292"/>
      <c r="AD62" s="2292"/>
      <c r="AE62" s="2292"/>
      <c r="AF62" s="2292"/>
      <c r="AG62" s="2292"/>
      <c r="AH62" s="2292"/>
      <c r="AI62" s="2292"/>
      <c r="AJ62" s="2292"/>
      <c r="AK62" s="2292"/>
      <c r="AL62" s="2292"/>
      <c r="AM62" s="2292"/>
      <c r="AS62" s="1162">
        <v>18</v>
      </c>
    </row>
    <row customHeight="1" ht="18.75">
      <c r="O63" s="544"/>
      <c r="P63" s="1335"/>
      <c r="T63" s="2292"/>
      <c r="U63" s="2292"/>
      <c r="V63" s="2292"/>
      <c r="W63" s="2292"/>
      <c r="X63" s="2292"/>
      <c r="Y63" s="2292"/>
      <c r="Z63" s="2292"/>
      <c r="AA63" s="2292"/>
      <c r="AB63" s="2292"/>
      <c r="AC63" s="2292"/>
      <c r="AD63" s="2292"/>
      <c r="AE63" s="2292"/>
      <c r="AF63" s="2292"/>
      <c r="AG63" s="2292"/>
      <c r="AH63" s="2292"/>
      <c r="AI63" s="2292"/>
      <c r="AJ63" s="2292"/>
      <c r="AK63" s="2292"/>
      <c r="AL63" s="2292"/>
      <c r="AM63" s="2292"/>
      <c r="AS63" s="1162">
        <v>18</v>
      </c>
    </row>
    <row customHeight="1" ht="29.25">
      <c r="O64" s="544"/>
      <c r="P64" s="1335"/>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28</v>
      </c>
    </row>
    <row customHeight="1" ht="22.5" hidden="1">
      <c r="A65" s="1167" t="s">
        <v>82</v>
      </c>
      <c r="B65" s="1167">
        <v>0</v>
      </c>
      <c r="C65" s="1167">
        <v>0</v>
      </c>
      <c r="D65" s="1167">
        <v>0</v>
      </c>
      <c r="E65" s="1167">
        <v>0</v>
      </c>
      <c r="F65" s="1167">
        <v>0</v>
      </c>
      <c r="G65" s="1167">
        <v>0</v>
      </c>
      <c r="H65" s="1167">
        <v>0</v>
      </c>
      <c r="I65" s="1167">
        <v>0</v>
      </c>
      <c r="J65" s="1167">
        <v>0</v>
      </c>
      <c r="K65" s="1167">
        <v>0</v>
      </c>
      <c r="L65" s="1336">
        <v>0</v>
      </c>
      <c r="M65" s="1369">
        <v>0</v>
      </c>
      <c r="N65" s="1369">
        <v>0</v>
      </c>
      <c r="O65" s="1369">
        <v>0</v>
      </c>
      <c r="P65" s="1225">
        <v>3</v>
      </c>
      <c r="Q65" s="351">
        <v>3</v>
      </c>
      <c r="R65" s="351">
        <v>3</v>
      </c>
      <c r="S65" s="588">
        <v>12</v>
      </c>
      <c r="T65" s="1162">
        <v>35</v>
      </c>
      <c r="U65" s="1162">
        <v>0</v>
      </c>
      <c r="V65" s="1162">
        <v>0</v>
      </c>
      <c r="W65" s="1162">
        <v>0</v>
      </c>
      <c r="X65" s="1162">
        <v>0</v>
      </c>
      <c r="Y65" s="1162">
        <v>0</v>
      </c>
      <c r="Z65" s="1162">
        <v>0</v>
      </c>
      <c r="AA65" s="1162">
        <v>0</v>
      </c>
      <c r="AB65" s="1162">
        <v>0</v>
      </c>
      <c r="AC65" s="1162">
        <v>0</v>
      </c>
      <c r="AD65" s="1162">
        <v>24</v>
      </c>
      <c r="AE65" s="1162">
        <v>0</v>
      </c>
      <c r="AF65" s="1162">
        <v>24</v>
      </c>
      <c r="AG65" s="1162">
        <v>24</v>
      </c>
      <c r="AH65" s="1162">
        <v>11</v>
      </c>
      <c r="AI65" s="1162">
        <v>3</v>
      </c>
      <c r="AJ65" s="1162">
        <v>11</v>
      </c>
      <c r="AK65" s="1162">
        <v>0</v>
      </c>
      <c r="AL65" s="1162">
        <v>4</v>
      </c>
      <c r="AM65" s="1162">
        <v>115</v>
      </c>
      <c r="AN65" s="518">
        <v>10</v>
      </c>
      <c r="AO65" s="518">
        <v>10</v>
      </c>
      <c r="AP65" s="518">
        <v>10</v>
      </c>
      <c r="AQ65" s="518">
        <v>10</v>
      </c>
      <c r="AR65" s="518">
        <v>10</v>
      </c>
      <c r="AS65" s="1162">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7DD7FF-D37D-4C8E-3CA1-9E0230219DB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43">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39"/>
      <c r="Q3" s="359"/>
      <c r="R3" s="360"/>
      <c r="S3" s="1343">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1343">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360"/>
      <c r="S5" s="1343">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507"/>
      <c r="AP5" s="507" t="str">
        <f>IF(T5="","",T5)</f>
        <v>Источник тепловой энергии  </v>
      </c>
      <c r="AQ5" s="507"/>
      <c r="AR5" s="507"/>
      <c r="AS5" s="1162">
        <v>0</v>
      </c>
    </row>
    <row customHeight="1" ht="47.25" hidden="1">
      <c r="A6" s="1370"/>
      <c r="B6" s="1370"/>
      <c r="C6" s="1370"/>
      <c r="D6" s="1370"/>
      <c r="E6" s="2266"/>
      <c r="F6" s="2266"/>
      <c r="G6" s="2266"/>
      <c r="H6" s="2266"/>
      <c r="I6" s="2263">
        <f>S5&amp;".1"</f>
      </c>
      <c r="J6" s="1370"/>
      <c r="K6" s="1370"/>
      <c r="L6" s="1371" t="s">
        <v>566</v>
      </c>
      <c r="M6" s="544"/>
      <c r="P6" s="2264">
        <v>1</v>
      </c>
      <c r="Q6" s="1338"/>
      <c r="R6" s="363"/>
      <c r="S6" s="1343">
        <f>$I6</f>
      </c>
      <c r="T6" s="292" t="s">
        <v>567</v>
      </c>
      <c r="U6" s="307"/>
      <c r="V6" s="2252"/>
      <c r="W6" s="2253"/>
      <c r="X6" s="2253"/>
      <c r="Y6" s="2253"/>
      <c r="Z6" s="2253"/>
      <c r="AA6" s="2253"/>
      <c r="AB6" s="2253"/>
      <c r="AC6" s="2254"/>
      <c r="AD6" s="2252"/>
      <c r="AE6" s="2253"/>
      <c r="AF6" s="2253"/>
      <c r="AG6" s="2253"/>
      <c r="AH6" s="2253"/>
      <c r="AI6" s="2253"/>
      <c r="AJ6" s="2253"/>
      <c r="AK6" s="2253"/>
      <c r="AL6" s="2254"/>
      <c r="AM6" s="1265" t="s">
        <v>568</v>
      </c>
      <c r="AO6" s="507"/>
      <c r="AP6" s="507" t="str">
        <f>IF(T6="","",T6)</f>
        <v>Схема подключения теплопотребляющей установки к коллектору источника тепловой энергии</v>
      </c>
      <c r="AQ6" s="507"/>
      <c r="AR6" s="507"/>
      <c r="AS6" s="1162">
        <v>0</v>
      </c>
    </row>
    <row customHeight="1" ht="21" hidden="1">
      <c r="A7" s="1370"/>
      <c r="B7" s="1370"/>
      <c r="C7" s="1370"/>
      <c r="D7" s="1370"/>
      <c r="E7" s="2266"/>
      <c r="F7" s="2266"/>
      <c r="G7" s="2266"/>
      <c r="H7" s="2266"/>
      <c r="I7" s="2293"/>
      <c r="J7" s="2263">
        <f>I6&amp;".1"</f>
      </c>
      <c r="K7" s="1370"/>
      <c r="L7" s="1371" t="s">
        <v>569</v>
      </c>
      <c r="M7" s="544"/>
      <c r="N7" s="1373"/>
      <c r="P7" s="2264"/>
      <c r="Q7" s="2264">
        <v>1</v>
      </c>
      <c r="R7" s="364"/>
      <c r="S7" s="1343">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507"/>
      <c r="AP7" s="507" t="str">
        <f>IF(T7="","",T7)</f>
        <v>Группа потребителей</v>
      </c>
      <c r="AQ7" s="507"/>
      <c r="AR7" s="507"/>
      <c r="AS7" s="1162">
        <v>0</v>
      </c>
    </row>
    <row customHeight="1" ht="21" hidden="1">
      <c r="A8" s="1370"/>
      <c r="B8" s="1370"/>
      <c r="C8" s="1370"/>
      <c r="D8" s="1370"/>
      <c r="E8" s="2266"/>
      <c r="F8" s="2266"/>
      <c r="G8" s="2266"/>
      <c r="H8" s="2266"/>
      <c r="I8" s="2293"/>
      <c r="J8" s="2293"/>
      <c r="K8" s="2263">
        <f>J7&amp;".1"</f>
      </c>
      <c r="L8" s="1371" t="s">
        <v>572</v>
      </c>
      <c r="M8" s="544"/>
      <c r="N8" s="1373"/>
      <c r="O8" s="1373"/>
      <c r="P8" s="2264"/>
      <c r="Q8" s="2264"/>
      <c r="R8" s="364">
        <v>1</v>
      </c>
      <c r="S8" s="1343">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518">
        <f>STRCHECKDATE(V9:AL9)</f>
      </c>
      <c r="AO8" s="507"/>
      <c r="AP8" s="507" t="str">
        <f>IF(T8="","",T8)</f>
        <v/>
      </c>
      <c r="AQ8" s="507"/>
      <c r="AR8" s="507"/>
      <c r="AS8" s="1162">
        <v>0</v>
      </c>
    </row>
    <row customHeight="1" ht="0.75" hidden="1">
      <c r="A9" s="1370"/>
      <c r="B9" s="1370"/>
      <c r="C9" s="1370"/>
      <c r="D9" s="1370"/>
      <c r="E9" s="2266"/>
      <c r="F9" s="2266"/>
      <c r="G9" s="2266"/>
      <c r="H9" s="2266"/>
      <c r="I9" s="2293"/>
      <c r="J9" s="2293"/>
      <c r="K9" s="2263"/>
      <c r="L9" s="1371"/>
      <c r="M9" s="544"/>
      <c r="N9" s="1373"/>
      <c r="O9" s="1373"/>
      <c r="P9" s="2264"/>
      <c r="Q9" s="2264"/>
      <c r="R9" s="364"/>
      <c r="S9" s="1349"/>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5" hidden="1">
      <c r="A10" s="1370"/>
      <c r="B10" s="1370"/>
      <c r="C10" s="1370"/>
      <c r="D10" s="1370"/>
      <c r="E10" s="2266"/>
      <c r="F10" s="2266"/>
      <c r="G10" s="2266"/>
      <c r="H10" s="2266"/>
      <c r="I10" s="2293"/>
      <c r="J10" s="2263"/>
      <c r="K10" s="1370"/>
      <c r="L10" s="1371"/>
      <c r="M10" s="544"/>
      <c r="N10" s="1373"/>
      <c r="P10" s="2264"/>
      <c r="Q10" s="2264"/>
      <c r="R10" s="363"/>
      <c r="S10" s="1285"/>
      <c r="T10" s="295"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5" hidden="1">
      <c r="A11" s="1370"/>
      <c r="B11" s="1370"/>
      <c r="C11" s="1370"/>
      <c r="D11" s="1370"/>
      <c r="E11" s="2266"/>
      <c r="F11" s="2266"/>
      <c r="G11" s="2266"/>
      <c r="H11" s="2266"/>
      <c r="I11" s="2263"/>
      <c r="J11" s="1370"/>
      <c r="K11" s="1370"/>
      <c r="L11" s="1371"/>
      <c r="M11" s="544"/>
      <c r="P11" s="2264"/>
      <c r="Q11" s="1338"/>
      <c r="R11" s="363"/>
      <c r="S11" s="1285"/>
      <c r="T11" s="294"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14.25" hidden="1">
      <c r="A12" s="1370"/>
      <c r="B12" s="1370"/>
      <c r="C12" s="1370"/>
      <c r="D12" s="1370"/>
      <c r="E12" s="2266"/>
      <c r="F12" s="2266"/>
      <c r="G12" s="2266"/>
      <c r="H12" s="2265"/>
      <c r="I12" s="1370"/>
      <c r="J12" s="1370"/>
      <c r="K12" s="1370"/>
      <c r="L12" s="1371"/>
      <c r="M12" s="1372"/>
      <c r="N12" s="1372"/>
      <c r="O12" s="544"/>
      <c r="P12" s="367"/>
      <c r="Q12" s="382"/>
      <c r="R12" s="362"/>
      <c r="S12" s="1285"/>
      <c r="T12" s="372" t="s">
        <v>576</v>
      </c>
      <c r="U12" s="374"/>
      <c r="V12" s="374"/>
      <c r="W12" s="374"/>
      <c r="X12" s="374"/>
      <c r="Y12" s="374"/>
      <c r="Z12" s="374"/>
      <c r="AA12" s="374"/>
      <c r="AB12" s="374"/>
      <c r="AC12" s="373"/>
      <c r="AD12" s="374"/>
      <c r="AE12" s="374"/>
      <c r="AF12" s="374"/>
      <c r="AG12" s="374"/>
      <c r="AH12" s="374"/>
      <c r="AI12" s="374"/>
      <c r="AJ12" s="374"/>
      <c r="AK12" s="373"/>
      <c r="AL12" s="374"/>
      <c r="AM12" s="310"/>
      <c r="AO12" s="507"/>
      <c r="AP12" s="507" t="str">
        <f>IF(T12="","",T12)</f>
        <v>Добавить схему подключения</v>
      </c>
      <c r="AQ12" s="507"/>
      <c r="AR12" s="507"/>
      <c r="AS12" s="1162">
        <v>0</v>
      </c>
    </row>
    <row s="1649" customFormat="1" customHeight="1" ht="0.7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0.7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0.7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AD17" s="1367"/>
      <c r="AE17" s="1367"/>
      <c r="AF17" s="1367"/>
      <c r="AG17" s="1368"/>
      <c r="AH17" s="2274"/>
      <c r="AI17" s="2275" t="s">
        <v>66</v>
      </c>
      <c r="AJ17" s="2274"/>
      <c r="AK17" s="2275" t="s">
        <v>66</v>
      </c>
      <c r="AS17" s="1162">
        <v>0</v>
      </c>
    </row>
    <row customHeight="1" ht="14.25" hidden="1">
      <c r="AD18" s="1367"/>
      <c r="AE18" s="1367"/>
      <c r="AF18" s="1367"/>
      <c r="AG18" s="335" t="str">
        <f>AH17&amp;"-"&amp;AJ17</f>
        <v>-</v>
      </c>
      <c r="AH18" s="2275"/>
      <c r="AI18" s="2275"/>
      <c r="AJ18" s="2275"/>
      <c r="AK18" s="2275"/>
      <c r="AS18" s="1162">
        <v>0</v>
      </c>
    </row>
    <row customHeight="1" ht="14.25" hidden="1">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14.2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AS23" s="1162">
        <v>0</v>
      </c>
    </row>
    <row customHeight="1" ht="14.25" hidden="1">
      <c r="O24" s="1371"/>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14.699999999999998">
      <c r="Q26" s="383"/>
      <c r="R26" s="383"/>
      <c r="S26" s="225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5"/>
      <c r="U26" s="2255"/>
      <c r="V26" s="2255"/>
      <c r="W26" s="2255"/>
      <c r="X26" s="2255"/>
      <c r="Y26" s="2255"/>
      <c r="Z26" s="2255"/>
      <c r="AA26" s="2255"/>
      <c r="AB26" s="2255"/>
      <c r="AC26" s="2255"/>
      <c r="AD26" s="2255"/>
      <c r="AE26" s="2255"/>
      <c r="AF26" s="2255"/>
      <c r="AG26" s="2255"/>
      <c r="AH26" s="2255"/>
      <c r="AI26" s="2255"/>
      <c r="AJ26" s="2255"/>
      <c r="AK26" s="1250"/>
      <c r="AS26" s="1162">
        <v>14</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18.7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347"/>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162">
        <v>14</v>
      </c>
    </row>
    <row customHeight="1" ht="35.699999999999996">
      <c r="Q40" s="383"/>
      <c r="R40" s="383"/>
      <c r="S40" s="2280"/>
      <c r="T40" s="2216"/>
      <c r="U40" s="1038"/>
      <c r="V40" s="2267" t="s">
        <v>594</v>
      </c>
      <c r="W40" s="2290" t="s">
        <v>595</v>
      </c>
      <c r="X40" s="2269" t="s">
        <v>596</v>
      </c>
      <c r="Y40" s="2270"/>
      <c r="Z40" s="2269" t="s">
        <v>609</v>
      </c>
      <c r="AA40" s="2276"/>
      <c r="AB40" s="2270"/>
      <c r="AC40" s="2285"/>
      <c r="AD40" s="2267" t="s">
        <v>594</v>
      </c>
      <c r="AE40" s="2290" t="s">
        <v>595</v>
      </c>
      <c r="AF40" s="2269" t="s">
        <v>596</v>
      </c>
      <c r="AG40" s="2270"/>
      <c r="AH40" s="2269" t="s">
        <v>597</v>
      </c>
      <c r="AI40" s="2276"/>
      <c r="AJ40" s="2270"/>
      <c r="AK40" s="2285"/>
      <c r="AL40" s="2288"/>
      <c r="AM40" s="2134"/>
      <c r="AS40" s="1162">
        <v>34</v>
      </c>
    </row>
    <row customHeight="1" ht="35.699999999999996">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Q41" s="383"/>
      <c r="R41" s="383"/>
      <c r="S41" s="2280"/>
      <c r="T41" s="2216"/>
      <c r="U41" s="309"/>
      <c r="V41" s="2268"/>
      <c r="W41" s="2291"/>
      <c r="X41" s="1229" t="s">
        <v>605</v>
      </c>
      <c r="Y41" s="1229" t="s">
        <v>606</v>
      </c>
      <c r="Z41" s="1345" t="s">
        <v>607</v>
      </c>
      <c r="AA41" s="2277" t="s">
        <v>608</v>
      </c>
      <c r="AB41" s="2278"/>
      <c r="AC41" s="2286"/>
      <c r="AD41" s="2268"/>
      <c r="AE41" s="2291"/>
      <c r="AF41" s="1229" t="s">
        <v>605</v>
      </c>
      <c r="AG41" s="1229" t="s">
        <v>606</v>
      </c>
      <c r="AH41" s="1345" t="s">
        <v>607</v>
      </c>
      <c r="AI41" s="2277" t="s">
        <v>608</v>
      </c>
      <c r="AJ41" s="2278"/>
      <c r="AK41" s="2286"/>
      <c r="AL41" s="2289"/>
      <c r="AM41" s="2134"/>
      <c r="AS41" s="1162">
        <v>34</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342">
        <f>OFFSET(V42,0,-1)+1</f>
        <v>3</v>
      </c>
      <c r="W42" s="1342"/>
      <c r="X42" s="1342">
        <f>OFFSET(X42,0,-1)+1</f>
        <v>1</v>
      </c>
      <c r="Y42" s="1342">
        <f>OFFSET(Y42,0,-1)+1</f>
        <v>2</v>
      </c>
      <c r="Z42" s="1342">
        <f>OFFSET(Z42,0,-1)+1</f>
        <v>3</v>
      </c>
      <c r="AA42" s="2279">
        <f>OFFSET(AA42,0,-1)+1</f>
        <v>4</v>
      </c>
      <c r="AB42" s="2279"/>
      <c r="AC42" s="1342">
        <f>OFFSET(AC42,0,-2)+1</f>
        <v>5</v>
      </c>
      <c r="AD42" s="1342">
        <f>OFFSET(AD42,0,-1)+1</f>
        <v>6</v>
      </c>
      <c r="AE42" s="1342"/>
      <c r="AF42" s="1342">
        <f>OFFSET(AF42,0,-1)+1</f>
        <v>1</v>
      </c>
      <c r="AG42" s="1342">
        <f>OFFSET(AG42,0,-1)+1</f>
        <v>2</v>
      </c>
      <c r="AH42" s="1342">
        <f>OFFSET(AH42,0,-1)+1</f>
        <v>3</v>
      </c>
      <c r="AI42" s="2279">
        <f>OFFSET(AI42,0,-1)+1</f>
        <v>4</v>
      </c>
      <c r="AJ42" s="2279"/>
      <c r="AK42" s="1342">
        <f>OFFSET(AK42,0,-2)+1</f>
        <v>5</v>
      </c>
      <c r="AL42" s="1252">
        <f>OFFSET(AL42,0,-1)</f>
        <v>5</v>
      </c>
      <c r="AM42" s="1342">
        <f>OFFSET(AM42,0,-1)+1</f>
        <v>6</v>
      </c>
      <c r="AN42" s="518"/>
      <c r="AO42" s="518"/>
      <c r="AP42" s="518"/>
      <c r="AQ42" s="518"/>
      <c r="AR42" s="518"/>
      <c r="AS42" s="503">
        <v>0</v>
      </c>
    </row>
    <row customHeight="1" ht="22.049999999999997">
      <c r="A43" s="1370" t="s">
        <v>247</v>
      </c>
      <c r="B43" s="1370"/>
      <c r="C43" s="1370"/>
      <c r="D43" s="1370"/>
      <c r="E43" s="2265">
        <v>1</v>
      </c>
      <c r="F43" s="1370"/>
      <c r="G43" s="1370"/>
      <c r="H43" s="1370"/>
      <c r="I43" s="1370"/>
      <c r="J43" s="1370"/>
      <c r="K43" s="1370"/>
      <c r="L43" s="1371"/>
      <c r="M43" s="1372"/>
      <c r="N43" s="1372"/>
      <c r="O43" s="1372"/>
      <c r="P43" s="368"/>
      <c r="Q43" s="367"/>
      <c r="R43" s="362"/>
      <c r="S43" s="1343">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21</v>
      </c>
    </row>
    <row customHeight="1" ht="22.049999999999997">
      <c r="A44" s="1370" t="s">
        <v>247</v>
      </c>
      <c r="B44" s="1370" t="s">
        <v>248</v>
      </c>
      <c r="C44" s="1370"/>
      <c r="D44" s="1370"/>
      <c r="E44" s="2266"/>
      <c r="F44" s="2265">
        <v>1</v>
      </c>
      <c r="G44" s="1370"/>
      <c r="H44" s="1370"/>
      <c r="I44" s="1370"/>
      <c r="J44" s="1370"/>
      <c r="K44" s="1370"/>
      <c r="L44" s="1371"/>
      <c r="M44" s="1372"/>
      <c r="N44" s="1372"/>
      <c r="O44" s="1372"/>
      <c r="P44" s="1339"/>
      <c r="Q44" s="359"/>
      <c r="R44" s="360"/>
      <c r="S44" s="1343"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21</v>
      </c>
    </row>
    <row customHeight="1" ht="24">
      <c r="A45" s="1370" t="s">
        <v>247</v>
      </c>
      <c r="B45" s="1370" t="s">
        <v>248</v>
      </c>
      <c r="C45" s="1370" t="s">
        <v>249</v>
      </c>
      <c r="D45" s="1370"/>
      <c r="E45" s="2266"/>
      <c r="F45" s="2266"/>
      <c r="G45" s="2265">
        <v>1</v>
      </c>
      <c r="H45" s="1370"/>
      <c r="I45" s="1370"/>
      <c r="J45" s="1370"/>
      <c r="K45" s="1370"/>
      <c r="L45" s="1371"/>
      <c r="M45" s="1372"/>
      <c r="N45" s="1372"/>
      <c r="O45" s="1372"/>
      <c r="P45" s="361"/>
      <c r="Q45" s="359"/>
      <c r="R45" s="360"/>
      <c r="S45" s="1343"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2.049999999999997">
      <c r="A46" s="1370" t="s">
        <v>247</v>
      </c>
      <c r="B46" s="1370" t="s">
        <v>248</v>
      </c>
      <c r="C46" s="1370" t="s">
        <v>249</v>
      </c>
      <c r="D46" s="1370" t="s">
        <v>250</v>
      </c>
      <c r="E46" s="2266"/>
      <c r="F46" s="2266"/>
      <c r="G46" s="2266"/>
      <c r="H46" s="2265">
        <v>1</v>
      </c>
      <c r="I46" s="1370"/>
      <c r="J46" s="1370"/>
      <c r="K46" s="1370"/>
      <c r="L46" s="1371"/>
      <c r="M46" s="1372"/>
      <c r="N46" s="1372"/>
      <c r="O46" s="1372"/>
      <c r="P46" s="361"/>
      <c r="Q46" s="359"/>
      <c r="R46" s="360"/>
      <c r="S46" s="1343"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21</v>
      </c>
    </row>
    <row customHeight="1" ht="49.5">
      <c r="A47" s="1370" t="s">
        <v>247</v>
      </c>
      <c r="B47" s="1370" t="s">
        <v>248</v>
      </c>
      <c r="C47" s="1370" t="s">
        <v>249</v>
      </c>
      <c r="D47" s="1370" t="s">
        <v>250</v>
      </c>
      <c r="E47" s="2266"/>
      <c r="F47" s="2266"/>
      <c r="G47" s="2266"/>
      <c r="H47" s="2266"/>
      <c r="I47" s="2263" t="str">
        <f>S46&amp;".1"</f>
        <v>....1</v>
      </c>
      <c r="J47" s="1370"/>
      <c r="K47" s="1370"/>
      <c r="L47" s="1371" t="s">
        <v>566</v>
      </c>
      <c r="P47" s="2264">
        <v>1</v>
      </c>
      <c r="Q47" s="1338"/>
      <c r="R47" s="363"/>
      <c r="S47" s="1343" t="str">
        <f>$I47</f>
        <v>....1</v>
      </c>
      <c r="T47" s="292" t="s">
        <v>567</v>
      </c>
      <c r="U47" s="307"/>
      <c r="V47" s="2252"/>
      <c r="W47" s="2253"/>
      <c r="X47" s="2253"/>
      <c r="Y47" s="2253"/>
      <c r="Z47" s="2253"/>
      <c r="AA47" s="2253"/>
      <c r="AB47" s="2253"/>
      <c r="AC47" s="2254"/>
      <c r="AD47" s="2252"/>
      <c r="AE47" s="2253"/>
      <c r="AF47" s="2253"/>
      <c r="AG47" s="2253"/>
      <c r="AH47" s="2253"/>
      <c r="AI47" s="2253"/>
      <c r="AJ47" s="2253"/>
      <c r="AK47" s="2253"/>
      <c r="AL47" s="2254"/>
      <c r="AM47" s="1265" t="s">
        <v>568</v>
      </c>
      <c r="AO47" s="507"/>
      <c r="AP47" s="507" t="str">
        <f>IF(T47="","",T47)</f>
        <v>Схема подключения теплопотребляющей установки к коллектору источника тепловой энергии</v>
      </c>
      <c r="AQ47" s="507"/>
      <c r="AR47" s="507"/>
      <c r="AS47" s="1162">
        <v>47</v>
      </c>
    </row>
    <row customHeight="1" ht="22.049999999999997">
      <c r="A48" s="1370" t="s">
        <v>247</v>
      </c>
      <c r="B48" s="1370" t="s">
        <v>248</v>
      </c>
      <c r="C48" s="1370" t="s">
        <v>249</v>
      </c>
      <c r="D48" s="1370" t="s">
        <v>250</v>
      </c>
      <c r="E48" s="2266"/>
      <c r="F48" s="2266"/>
      <c r="G48" s="2266"/>
      <c r="H48" s="2266"/>
      <c r="I48" s="2293"/>
      <c r="J48" s="2263" t="str">
        <f>I47&amp;".1"</f>
        <v>....1.1</v>
      </c>
      <c r="K48" s="1370"/>
      <c r="L48" s="1371" t="s">
        <v>569</v>
      </c>
      <c r="P48" s="2264"/>
      <c r="Q48" s="2264">
        <v>1</v>
      </c>
      <c r="R48" s="364"/>
      <c r="S48" s="1343" t="str">
        <f>$J48</f>
        <v>....1.1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21</v>
      </c>
    </row>
    <row customHeight="1" ht="22.049999999999997">
      <c r="A49" s="1370" t="s">
        <v>247</v>
      </c>
      <c r="B49" s="1370" t="s">
        <v>248</v>
      </c>
      <c r="C49" s="1370" t="s">
        <v>249</v>
      </c>
      <c r="D49" s="1370" t="s">
        <v>250</v>
      </c>
      <c r="E49" s="2266"/>
      <c r="F49" s="2266"/>
      <c r="G49" s="2266"/>
      <c r="H49" s="2266"/>
      <c r="I49" s="2293"/>
      <c r="J49" s="2293"/>
      <c r="K49" s="2263" t="str">
        <f>J48&amp;".1"</f>
        <v>....1.1.1</v>
      </c>
      <c r="L49" s="1371" t="s">
        <v>572</v>
      </c>
      <c r="P49" s="2264"/>
      <c r="Q49" s="2264"/>
      <c r="R49" s="364">
        <v>1</v>
      </c>
      <c r="S49" s="1343" t="str">
        <f>$K49</f>
        <v>....1.1.1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573</v>
      </c>
      <c r="AN49" s="518">
        <f>STRCHECKDATE(V50:AL50)</f>
      </c>
      <c r="AO49" s="507"/>
      <c r="AP49" s="507" t="str">
        <f>IF(T49="","",T49)</f>
        <v/>
      </c>
      <c r="AQ49" s="507"/>
      <c r="AR49" s="507"/>
      <c r="AS49" s="1162">
        <v>21</v>
      </c>
    </row>
    <row customHeight="1" ht="1.05">
      <c r="A50" s="1370" t="s">
        <v>247</v>
      </c>
      <c r="B50" s="1370" t="s">
        <v>248</v>
      </c>
      <c r="C50" s="1370" t="s">
        <v>249</v>
      </c>
      <c r="D50" s="1370" t="s">
        <v>250</v>
      </c>
      <c r="E50" s="2266"/>
      <c r="F50" s="2266"/>
      <c r="G50" s="2266"/>
      <c r="H50" s="2266"/>
      <c r="I50" s="2293"/>
      <c r="J50" s="2293"/>
      <c r="K50" s="2263"/>
      <c r="L50" s="1371"/>
      <c r="P50" s="2264"/>
      <c r="Q50" s="2264"/>
      <c r="R50" s="364"/>
      <c r="S50" s="1349"/>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1</v>
      </c>
    </row>
    <row customHeight="1" ht="11.549999999999999">
      <c r="A51" s="1370" t="s">
        <v>247</v>
      </c>
      <c r="B51" s="1370" t="s">
        <v>248</v>
      </c>
      <c r="C51" s="1370" t="s">
        <v>249</v>
      </c>
      <c r="D51" s="1370" t="s">
        <v>250</v>
      </c>
      <c r="E51" s="2266"/>
      <c r="F51" s="2266"/>
      <c r="G51" s="2266"/>
      <c r="H51" s="2266"/>
      <c r="I51" s="2293"/>
      <c r="J51" s="2263"/>
      <c r="K51" s="1370"/>
      <c r="L51" s="1371"/>
      <c r="P51" s="2264"/>
      <c r="Q51" s="2264"/>
      <c r="R51" s="363"/>
      <c r="S51" s="1285"/>
      <c r="T51" s="295"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247</v>
      </c>
      <c r="B52" s="1370" t="s">
        <v>248</v>
      </c>
      <c r="C52" s="1370" t="s">
        <v>249</v>
      </c>
      <c r="D52" s="1370" t="s">
        <v>250</v>
      </c>
      <c r="E52" s="2266"/>
      <c r="F52" s="2266"/>
      <c r="G52" s="2266"/>
      <c r="H52" s="2266"/>
      <c r="I52" s="2263"/>
      <c r="J52" s="1370"/>
      <c r="K52" s="1370"/>
      <c r="L52" s="1371"/>
      <c r="P52" s="2264"/>
      <c r="Q52" s="1338"/>
      <c r="R52" s="363"/>
      <c r="S52" s="1285"/>
      <c r="T52" s="294"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14.699999999999998">
      <c r="A53" s="1370" t="s">
        <v>247</v>
      </c>
      <c r="B53" s="1370" t="s">
        <v>248</v>
      </c>
      <c r="C53" s="1370" t="s">
        <v>249</v>
      </c>
      <c r="D53" s="1370" t="s">
        <v>250</v>
      </c>
      <c r="E53" s="2266"/>
      <c r="F53" s="2266"/>
      <c r="G53" s="2266"/>
      <c r="H53" s="2265"/>
      <c r="I53" s="1370"/>
      <c r="J53" s="1370"/>
      <c r="K53" s="1370"/>
      <c r="L53" s="1371"/>
      <c r="M53" s="1372"/>
      <c r="N53" s="1372"/>
      <c r="O53" s="544"/>
      <c r="P53" s="367"/>
      <c r="Q53" s="382"/>
      <c r="R53" s="362"/>
      <c r="S53" s="1285"/>
      <c r="T53" s="372" t="s">
        <v>576</v>
      </c>
      <c r="U53" s="374"/>
      <c r="V53" s="374"/>
      <c r="W53" s="374"/>
      <c r="X53" s="374"/>
      <c r="Y53" s="374"/>
      <c r="Z53" s="374"/>
      <c r="AA53" s="374"/>
      <c r="AB53" s="374"/>
      <c r="AC53" s="373"/>
      <c r="AD53" s="374"/>
      <c r="AE53" s="374"/>
      <c r="AF53" s="374"/>
      <c r="AG53" s="374"/>
      <c r="AH53" s="374"/>
      <c r="AI53" s="374"/>
      <c r="AJ53" s="374"/>
      <c r="AK53" s="373"/>
      <c r="AL53" s="374"/>
      <c r="AM53" s="310"/>
      <c r="AO53" s="507"/>
      <c r="AP53" s="507" t="str">
        <f>IF(T53="","",T53)</f>
        <v>Добавить схему подключения</v>
      </c>
      <c r="AQ53" s="507"/>
      <c r="AR53" s="507"/>
      <c r="AS53" s="1162">
        <v>14</v>
      </c>
    </row>
    <row s="1649" customFormat="1" customHeight="1" ht="1.05">
      <c r="A54" s="1350" t="s">
        <v>247</v>
      </c>
      <c r="B54" s="1350" t="s">
        <v>248</v>
      </c>
      <c r="C54" s="1350" t="s">
        <v>249</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1</v>
      </c>
    </row>
    <row s="1649" customFormat="1" customHeight="1" ht="1.05">
      <c r="A55" s="1350" t="s">
        <v>247</v>
      </c>
      <c r="B55" s="1350" t="s">
        <v>248</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1</v>
      </c>
    </row>
    <row s="1649" customFormat="1" customHeight="1" ht="1.05">
      <c r="A56" s="1350" t="s">
        <v>247</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1</v>
      </c>
    </row>
    <row s="1649" customFormat="1" customHeight="1" ht="1.05">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1</v>
      </c>
    </row>
    <row customHeight="1" ht="11.549999999999999">
      <c r="M58" s="1167"/>
      <c r="N58" s="1167"/>
      <c r="O58" s="544"/>
      <c r="P58" s="1162"/>
      <c r="Q58" s="1162"/>
      <c r="R58" s="1162"/>
      <c r="S58" s="1162"/>
      <c r="AN58" s="1162"/>
      <c r="AO58" s="1162"/>
      <c r="AP58" s="1162"/>
      <c r="AQ58" s="1162"/>
      <c r="AR58" s="1162"/>
      <c r="AS58" s="1162">
        <v>11</v>
      </c>
    </row>
    <row customHeight="1" ht="28.5">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27</v>
      </c>
    </row>
    <row customHeight="1" ht="65.25">
      <c r="O60" s="544"/>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62</v>
      </c>
    </row>
    <row customHeight="1" ht="14.699999999999998">
      <c r="O61" s="544"/>
      <c r="AS61" s="1162">
        <v>14</v>
      </c>
    </row>
    <row customHeight="1" ht="18.75">
      <c r="O62" s="544"/>
      <c r="S62" s="1260"/>
      <c r="T62" s="2292"/>
      <c r="U62" s="2292"/>
      <c r="V62" s="2292"/>
      <c r="W62" s="2292"/>
      <c r="X62" s="2292"/>
      <c r="Y62" s="2292"/>
      <c r="Z62" s="2292"/>
      <c r="AA62" s="2292"/>
      <c r="AB62" s="2292"/>
      <c r="AC62" s="2292"/>
      <c r="AD62" s="2292"/>
      <c r="AE62" s="2292"/>
      <c r="AF62" s="2292"/>
      <c r="AG62" s="2292"/>
      <c r="AH62" s="2292"/>
      <c r="AI62" s="2292"/>
      <c r="AJ62" s="2292"/>
      <c r="AK62" s="2292"/>
      <c r="AL62" s="2292"/>
      <c r="AM62" s="2292"/>
      <c r="AS62" s="1162">
        <v>18</v>
      </c>
    </row>
    <row customHeight="1" ht="18.75">
      <c r="O63" s="544"/>
      <c r="T63" s="2292"/>
      <c r="U63" s="2292"/>
      <c r="V63" s="2292"/>
      <c r="W63" s="2292"/>
      <c r="X63" s="2292"/>
      <c r="Y63" s="2292"/>
      <c r="Z63" s="2292"/>
      <c r="AA63" s="2292"/>
      <c r="AB63" s="2292"/>
      <c r="AC63" s="2292"/>
      <c r="AD63" s="2292"/>
      <c r="AE63" s="2292"/>
      <c r="AF63" s="2292"/>
      <c r="AG63" s="2292"/>
      <c r="AH63" s="2292"/>
      <c r="AI63" s="2292"/>
      <c r="AJ63" s="2292"/>
      <c r="AK63" s="2292"/>
      <c r="AL63" s="2292"/>
      <c r="AM63" s="2292"/>
      <c r="AS63" s="1162">
        <v>18</v>
      </c>
    </row>
    <row customHeight="1" ht="29.25">
      <c r="O64" s="544"/>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28</v>
      </c>
    </row>
    <row customHeight="1" ht="22.5" hidden="1">
      <c r="A65" s="1167" t="s">
        <v>82</v>
      </c>
      <c r="B65" s="1167">
        <v>0</v>
      </c>
      <c r="C65" s="1167">
        <v>0</v>
      </c>
      <c r="D65" s="1167">
        <v>0</v>
      </c>
      <c r="E65" s="1167">
        <v>0</v>
      </c>
      <c r="F65" s="1167">
        <v>0</v>
      </c>
      <c r="G65" s="1167">
        <v>0</v>
      </c>
      <c r="H65" s="1167">
        <v>0</v>
      </c>
      <c r="I65" s="1167">
        <v>0</v>
      </c>
      <c r="J65" s="1167">
        <v>0</v>
      </c>
      <c r="K65" s="1167">
        <v>0</v>
      </c>
      <c r="L65" s="1336">
        <v>0</v>
      </c>
      <c r="M65" s="1369">
        <v>0</v>
      </c>
      <c r="N65" s="1369">
        <v>0</v>
      </c>
      <c r="O65" s="1369">
        <v>0</v>
      </c>
      <c r="P65" s="1335">
        <v>3</v>
      </c>
      <c r="Q65" s="351">
        <v>3</v>
      </c>
      <c r="R65" s="351">
        <v>3</v>
      </c>
      <c r="S65" s="588">
        <v>12</v>
      </c>
      <c r="T65" s="1162">
        <v>31</v>
      </c>
      <c r="U65" s="1162">
        <v>0</v>
      </c>
      <c r="V65" s="1162">
        <v>0</v>
      </c>
      <c r="W65" s="1162">
        <v>0</v>
      </c>
      <c r="X65" s="1162">
        <v>0</v>
      </c>
      <c r="Y65" s="1162">
        <v>0</v>
      </c>
      <c r="Z65" s="1162">
        <v>0</v>
      </c>
      <c r="AA65" s="1162">
        <v>0</v>
      </c>
      <c r="AB65" s="1162">
        <v>0</v>
      </c>
      <c r="AC65" s="1162">
        <v>0</v>
      </c>
      <c r="AD65" s="1162">
        <v>24</v>
      </c>
      <c r="AE65" s="1162">
        <v>0</v>
      </c>
      <c r="AF65" s="1162">
        <v>24</v>
      </c>
      <c r="AG65" s="1162">
        <v>24</v>
      </c>
      <c r="AH65" s="1162">
        <v>11</v>
      </c>
      <c r="AI65" s="1162">
        <v>3</v>
      </c>
      <c r="AJ65" s="1162">
        <v>11</v>
      </c>
      <c r="AK65" s="1162">
        <v>0</v>
      </c>
      <c r="AL65" s="1162">
        <v>4</v>
      </c>
      <c r="AM65" s="1162">
        <v>115</v>
      </c>
      <c r="AN65" s="518">
        <v>10</v>
      </c>
      <c r="AO65" s="518">
        <v>10</v>
      </c>
      <c r="AP65" s="518">
        <v>10</v>
      </c>
      <c r="AQ65" s="518">
        <v>10</v>
      </c>
      <c r="AR65" s="518">
        <v>10</v>
      </c>
      <c r="AS65" s="1162">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F2FABD-96FF-2455-7C8B-E4BF28B8D86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42" width="10.57421875" hidden="1"/>
    <col min="2" max="2" style="1642" width="11.00390625" hidden="1" customWidth="1"/>
    <col min="3" max="3" style="1642" width="10.57421875" hidden="1"/>
    <col min="4" max="4" style="1642" width="11.8515625" hidden="1" customWidth="1"/>
    <col min="5" max="5" style="1642" width="10.00390625" hidden="1" customWidth="1"/>
    <col min="6" max="6" style="1642" width="8.7109375" hidden="1" customWidth="1"/>
    <col min="7" max="7" style="1642" width="7.57421875" hidden="1" customWidth="1"/>
    <col min="8" max="8" style="1642" width="11.421875" hidden="1" customWidth="1"/>
    <col min="9" max="9" style="1642" width="12.00390625" hidden="1" customWidth="1"/>
    <col min="10" max="10" style="1642" width="9.8515625" hidden="1" customWidth="1"/>
    <col min="11" max="11" style="1642" width="11.421875" hidden="1" customWidth="1"/>
    <col min="12" max="12" style="2132" width="19.140625" hidden="1" customWidth="1"/>
    <col min="13" max="14" style="2404" width="12.28125" hidden="1" customWidth="1"/>
    <col min="15" max="15" style="2404" width="23.421875" hidden="1" customWidth="1"/>
    <col min="16" max="16" style="2404" width="3.00390625"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AS1" s="1638" t="s">
        <v>14</v>
      </c>
    </row>
    <row customHeight="1" ht="21" hidden="1">
      <c r="A2" s="1274"/>
      <c r="B2" s="1274"/>
      <c r="C2" s="1274"/>
      <c r="D2" s="1274"/>
      <c r="E2" s="2296">
        <v>1</v>
      </c>
      <c r="F2" s="1274"/>
      <c r="G2" s="1274"/>
      <c r="H2" s="1274"/>
      <c r="I2" s="1274"/>
      <c r="J2" s="1274"/>
      <c r="K2" s="1274"/>
      <c r="L2" s="1317"/>
      <c r="M2" s="1617"/>
      <c r="N2" s="1617"/>
      <c r="O2" s="1617"/>
      <c r="P2" s="1597"/>
      <c r="Q2" s="367"/>
      <c r="R2" s="362"/>
      <c r="S2" s="1965">
        <f>INDEX(PT_DIFFERENTIATION_NUM_NTAR,MATCH(A2,PT_DIFFERENTIATION_NTAR_ID,0))</f>
      </c>
      <c r="T2" s="1532"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1631"/>
      <c r="AP2" s="1631" t="str">
        <f>IF(T2="","",T2)</f>
        <v>Наименование тарифа</v>
      </c>
      <c r="AQ2" s="1631"/>
      <c r="AR2" s="1631"/>
      <c r="AS2" s="1638">
        <v>0</v>
      </c>
    </row>
    <row customHeight="1" ht="21" hidden="1">
      <c r="A3" s="1274"/>
      <c r="B3" s="1274"/>
      <c r="C3" s="1274"/>
      <c r="D3" s="1274"/>
      <c r="E3" s="2297"/>
      <c r="F3" s="2296">
        <v>1</v>
      </c>
      <c r="G3" s="1274"/>
      <c r="H3" s="1274"/>
      <c r="I3" s="1274"/>
      <c r="J3" s="1274"/>
      <c r="K3" s="1274"/>
      <c r="L3" s="1317"/>
      <c r="M3" s="1617"/>
      <c r="N3" s="1617"/>
      <c r="O3" s="1617"/>
      <c r="P3" s="1947"/>
      <c r="Q3" s="359"/>
      <c r="R3" s="360"/>
      <c r="S3" s="1965">
        <f>INDEX(PT_DIFFERENTIATION_NUM_TER,MATCH(B3,PT_DIFFERENTIATION_TER_ID,0))</f>
      </c>
      <c r="T3" s="1529"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1631"/>
      <c r="AP3" s="1631" t="str">
        <f>IF(T3="","",T3)</f>
        <v>Территория действия тарифа</v>
      </c>
      <c r="AQ3" s="1631"/>
      <c r="AR3" s="1631"/>
      <c r="AS3" s="1638">
        <v>0</v>
      </c>
    </row>
    <row customHeight="1" ht="23.25" hidden="1">
      <c r="A4" s="1274"/>
      <c r="B4" s="1274"/>
      <c r="C4" s="1274"/>
      <c r="D4" s="1274"/>
      <c r="E4" s="2297"/>
      <c r="F4" s="2297"/>
      <c r="G4" s="2296">
        <v>1</v>
      </c>
      <c r="H4" s="1274"/>
      <c r="I4" s="1274"/>
      <c r="J4" s="1274"/>
      <c r="K4" s="1274"/>
      <c r="L4" s="1317"/>
      <c r="M4" s="1617"/>
      <c r="N4" s="1617"/>
      <c r="O4" s="1617"/>
      <c r="P4" s="361"/>
      <c r="Q4" s="359"/>
      <c r="R4" s="360"/>
      <c r="S4" s="1965">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1631"/>
      <c r="AP4" s="1631" t="str">
        <f>IF(T4="","",T4)</f>
        <v>Наименование системы теплоснабжения </v>
      </c>
      <c r="AQ4" s="1631"/>
      <c r="AR4" s="1631"/>
      <c r="AS4" s="1638">
        <v>0</v>
      </c>
    </row>
    <row customHeight="1" ht="21" hidden="1">
      <c r="A5" s="1274"/>
      <c r="B5" s="1274"/>
      <c r="C5" s="1274"/>
      <c r="D5" s="1274"/>
      <c r="E5" s="2297"/>
      <c r="F5" s="2297"/>
      <c r="G5" s="2297"/>
      <c r="H5" s="2296">
        <v>1</v>
      </c>
      <c r="I5" s="1274"/>
      <c r="J5" s="1274"/>
      <c r="K5" s="1274"/>
      <c r="L5" s="1317"/>
      <c r="M5" s="1617"/>
      <c r="N5" s="1617"/>
      <c r="O5" s="1617"/>
      <c r="P5" s="361"/>
      <c r="Q5" s="359"/>
      <c r="R5" s="360"/>
      <c r="S5" s="1965">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1631"/>
      <c r="AP5" s="1631" t="str">
        <f>IF(T5="","",T5)</f>
        <v>Источник тепловой энергии  </v>
      </c>
      <c r="AQ5" s="1631"/>
      <c r="AR5" s="1631"/>
      <c r="AS5" s="1638">
        <v>0</v>
      </c>
    </row>
    <row customHeight="1" ht="47.25" hidden="1">
      <c r="A6" s="1274"/>
      <c r="B6" s="1274"/>
      <c r="C6" s="1274"/>
      <c r="D6" s="1274"/>
      <c r="E6" s="2297"/>
      <c r="F6" s="2297"/>
      <c r="G6" s="2297"/>
      <c r="H6" s="2297"/>
      <c r="I6" s="2134">
        <f>S5&amp;".1"</f>
      </c>
      <c r="J6" s="1274"/>
      <c r="K6" s="1274"/>
      <c r="L6" s="1317" t="s">
        <v>566</v>
      </c>
      <c r="M6" s="1642"/>
      <c r="P6" s="2264">
        <v>1</v>
      </c>
      <c r="Q6" s="1961"/>
      <c r="R6" s="363"/>
      <c r="S6" s="1965">
        <f>$I6</f>
      </c>
      <c r="T6" s="292" t="s">
        <v>567</v>
      </c>
      <c r="U6" s="307"/>
      <c r="V6" s="2252"/>
      <c r="W6" s="2253"/>
      <c r="X6" s="2253"/>
      <c r="Y6" s="2253"/>
      <c r="Z6" s="2253"/>
      <c r="AA6" s="2253"/>
      <c r="AB6" s="2253"/>
      <c r="AC6" s="2254"/>
      <c r="AD6" s="2252"/>
      <c r="AE6" s="2253"/>
      <c r="AF6" s="2253"/>
      <c r="AG6" s="2253"/>
      <c r="AH6" s="2253"/>
      <c r="AI6" s="2253"/>
      <c r="AJ6" s="2253"/>
      <c r="AK6" s="2253"/>
      <c r="AL6" s="2254"/>
      <c r="AM6" s="1265" t="s">
        <v>568</v>
      </c>
      <c r="AO6" s="1631"/>
      <c r="AP6" s="1631" t="str">
        <f>IF(T6="","",T6)</f>
        <v>Схема подключения теплопотребляющей установки к коллектору источника тепловой энергии</v>
      </c>
      <c r="AQ6" s="1631"/>
      <c r="AR6" s="1631"/>
      <c r="AS6" s="1638">
        <v>0</v>
      </c>
    </row>
    <row customHeight="1" ht="21" hidden="1">
      <c r="A7" s="1274"/>
      <c r="B7" s="1274"/>
      <c r="C7" s="1274"/>
      <c r="D7" s="1274"/>
      <c r="E7" s="2297"/>
      <c r="F7" s="2297"/>
      <c r="G7" s="2297"/>
      <c r="H7" s="2297"/>
      <c r="I7" s="2108"/>
      <c r="J7" s="2134">
        <f>I6&amp;".1"</f>
      </c>
      <c r="K7" s="1274"/>
      <c r="L7" s="1317" t="s">
        <v>569</v>
      </c>
      <c r="M7" s="1642"/>
      <c r="N7" s="1638"/>
      <c r="P7" s="2264"/>
      <c r="Q7" s="2264">
        <v>1</v>
      </c>
      <c r="R7" s="364"/>
      <c r="S7" s="1965">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1631"/>
      <c r="AP7" s="1631" t="str">
        <f>IF(T7="","",T7)</f>
        <v>Группа потребителей</v>
      </c>
      <c r="AQ7" s="1631"/>
      <c r="AR7" s="1631"/>
      <c r="AS7" s="1638">
        <v>0</v>
      </c>
    </row>
    <row customHeight="1" ht="21" hidden="1">
      <c r="A8" s="1274"/>
      <c r="B8" s="1274"/>
      <c r="C8" s="1274"/>
      <c r="D8" s="1274"/>
      <c r="E8" s="2297"/>
      <c r="F8" s="2297"/>
      <c r="G8" s="2297"/>
      <c r="H8" s="2297"/>
      <c r="I8" s="2108"/>
      <c r="J8" s="2108"/>
      <c r="K8" s="2134">
        <f>J7&amp;".1"</f>
      </c>
      <c r="L8" s="1317" t="s">
        <v>572</v>
      </c>
      <c r="M8" s="1642"/>
      <c r="N8" s="1638"/>
      <c r="O8" s="1638"/>
      <c r="P8" s="2264"/>
      <c r="Q8" s="2264"/>
      <c r="R8" s="364">
        <v>1</v>
      </c>
      <c r="S8" s="1965">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1643">
        <f>STRCHECKDATE(V9:AL9)</f>
      </c>
      <c r="AO8" s="1631"/>
      <c r="AP8" s="1631" t="str">
        <f>IF(T8="","",T8)</f>
        <v/>
      </c>
      <c r="AQ8" s="1631"/>
      <c r="AR8" s="1631"/>
      <c r="AS8" s="1638">
        <v>0</v>
      </c>
    </row>
    <row customHeight="1" ht="0.75" hidden="1">
      <c r="A9" s="1274"/>
      <c r="B9" s="1274"/>
      <c r="C9" s="1274"/>
      <c r="D9" s="1274"/>
      <c r="E9" s="2297"/>
      <c r="F9" s="2297"/>
      <c r="G9" s="2297"/>
      <c r="H9" s="2297"/>
      <c r="I9" s="2108"/>
      <c r="J9" s="2108"/>
      <c r="K9" s="2134"/>
      <c r="L9" s="1317"/>
      <c r="M9" s="1642"/>
      <c r="N9" s="1638"/>
      <c r="O9" s="1638"/>
      <c r="P9" s="2264"/>
      <c r="Q9" s="2264"/>
      <c r="R9" s="364"/>
      <c r="S9" s="1974"/>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1631"/>
      <c r="AP9" s="1631" t="str">
        <f>IF(T9="","",T9)</f>
        <v/>
      </c>
      <c r="AQ9" s="1631"/>
      <c r="AR9" s="1631"/>
      <c r="AS9" s="1638">
        <v>0</v>
      </c>
    </row>
    <row customHeight="1" ht="15" hidden="1">
      <c r="A10" s="1274"/>
      <c r="B10" s="1274"/>
      <c r="C10" s="1274"/>
      <c r="D10" s="1274"/>
      <c r="E10" s="2297"/>
      <c r="F10" s="2297"/>
      <c r="G10" s="2297"/>
      <c r="H10" s="2297"/>
      <c r="I10" s="2108"/>
      <c r="J10" s="2134"/>
      <c r="K10" s="1274"/>
      <c r="L10" s="1317"/>
      <c r="M10" s="1642"/>
      <c r="N10" s="1638"/>
      <c r="P10" s="2264"/>
      <c r="Q10" s="2264"/>
      <c r="R10" s="363"/>
      <c r="S10" s="1285"/>
      <c r="T10" s="295" t="s">
        <v>574</v>
      </c>
      <c r="U10" s="607"/>
      <c r="V10" s="607"/>
      <c r="W10" s="607"/>
      <c r="X10" s="607"/>
      <c r="Y10" s="607"/>
      <c r="Z10" s="607"/>
      <c r="AA10" s="607"/>
      <c r="AB10" s="607"/>
      <c r="AC10" s="607"/>
      <c r="AD10" s="607"/>
      <c r="AE10" s="607"/>
      <c r="AF10" s="607"/>
      <c r="AG10" s="607"/>
      <c r="AH10" s="607"/>
      <c r="AI10" s="607"/>
      <c r="AJ10" s="607"/>
      <c r="AK10" s="607"/>
      <c r="AL10" s="331"/>
      <c r="AM10" s="2262"/>
      <c r="AO10" s="1631"/>
      <c r="AP10" s="1631" t="str">
        <f>IF(T10="","",T10)</f>
        <v>Добавить вид теплоносителя (параметры теплоносителя)</v>
      </c>
      <c r="AQ10" s="1631"/>
      <c r="AR10" s="1631"/>
      <c r="AS10" s="1638">
        <v>0</v>
      </c>
    </row>
    <row customHeight="1" ht="15" hidden="1">
      <c r="A11" s="1274"/>
      <c r="B11" s="1274"/>
      <c r="C11" s="1274"/>
      <c r="D11" s="1274"/>
      <c r="E11" s="2297"/>
      <c r="F11" s="2297"/>
      <c r="G11" s="2297"/>
      <c r="H11" s="2297"/>
      <c r="I11" s="2134"/>
      <c r="J11" s="1274"/>
      <c r="K11" s="1274"/>
      <c r="L11" s="1317"/>
      <c r="M11" s="1642"/>
      <c r="P11" s="2264"/>
      <c r="Q11" s="1961"/>
      <c r="R11" s="363"/>
      <c r="S11" s="1285"/>
      <c r="T11" s="294" t="s">
        <v>575</v>
      </c>
      <c r="U11" s="607"/>
      <c r="V11" s="607"/>
      <c r="W11" s="607"/>
      <c r="X11" s="607"/>
      <c r="Y11" s="607"/>
      <c r="Z11" s="607"/>
      <c r="AA11" s="607"/>
      <c r="AB11" s="607"/>
      <c r="AC11" s="373"/>
      <c r="AD11" s="607"/>
      <c r="AE11" s="607"/>
      <c r="AF11" s="607"/>
      <c r="AG11" s="607"/>
      <c r="AH11" s="607"/>
      <c r="AI11" s="607"/>
      <c r="AJ11" s="607"/>
      <c r="AK11" s="373"/>
      <c r="AL11" s="607"/>
      <c r="AM11" s="310"/>
      <c r="AO11" s="1631"/>
      <c r="AP11" s="1631" t="str">
        <f>IF(T11="","",T11)</f>
        <v>Добавить группу потребителей</v>
      </c>
      <c r="AQ11" s="1631"/>
      <c r="AR11" s="1631"/>
      <c r="AS11" s="1638">
        <v>0</v>
      </c>
    </row>
    <row customHeight="1" ht="14.25" hidden="1">
      <c r="A12" s="1274"/>
      <c r="B12" s="1274"/>
      <c r="C12" s="1274"/>
      <c r="D12" s="1274"/>
      <c r="E12" s="2297"/>
      <c r="F12" s="2297"/>
      <c r="G12" s="2297"/>
      <c r="H12" s="2296"/>
      <c r="I12" s="1274"/>
      <c r="J12" s="1274"/>
      <c r="K12" s="1274"/>
      <c r="L12" s="1317"/>
      <c r="M12" s="1617"/>
      <c r="N12" s="1617"/>
      <c r="O12" s="1642"/>
      <c r="P12" s="367"/>
      <c r="Q12" s="382"/>
      <c r="R12" s="362"/>
      <c r="S12" s="1285"/>
      <c r="T12" s="372" t="s">
        <v>576</v>
      </c>
      <c r="U12" s="607"/>
      <c r="V12" s="607"/>
      <c r="W12" s="607"/>
      <c r="X12" s="607"/>
      <c r="Y12" s="607"/>
      <c r="Z12" s="607"/>
      <c r="AA12" s="607"/>
      <c r="AB12" s="607"/>
      <c r="AC12" s="373"/>
      <c r="AD12" s="607"/>
      <c r="AE12" s="607"/>
      <c r="AF12" s="607"/>
      <c r="AG12" s="607"/>
      <c r="AH12" s="607"/>
      <c r="AI12" s="607"/>
      <c r="AJ12" s="607"/>
      <c r="AK12" s="373"/>
      <c r="AL12" s="607"/>
      <c r="AM12" s="310"/>
      <c r="AO12" s="1631"/>
      <c r="AP12" s="1631" t="str">
        <f>IF(T12="","",T12)</f>
        <v>Добавить схему подключения</v>
      </c>
      <c r="AQ12" s="1631"/>
      <c r="AR12" s="1631"/>
      <c r="AS12" s="1638">
        <v>0</v>
      </c>
    </row>
    <row s="1649" customFormat="1" customHeight="1" ht="0.75" hidden="1">
      <c r="A13" s="1381"/>
      <c r="B13" s="1381"/>
      <c r="C13" s="1381"/>
      <c r="D13" s="1381"/>
      <c r="E13" s="2297"/>
      <c r="F13" s="2297"/>
      <c r="G13" s="2296"/>
      <c r="H13" s="1381"/>
      <c r="I13" s="1381"/>
      <c r="J13" s="1381"/>
      <c r="K13" s="1381"/>
      <c r="L13" s="1384"/>
      <c r="M13" s="1385"/>
      <c r="N13" s="1385"/>
      <c r="O13" s="358"/>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1258"/>
      <c r="AP13" s="1258" t="str">
        <f>IF(T13="","",T13)</f>
        <v>Добавить источник для дифференциации</v>
      </c>
      <c r="AQ13" s="1258"/>
      <c r="AR13" s="1258"/>
      <c r="AS13" s="1649">
        <v>0</v>
      </c>
    </row>
    <row s="1649" customFormat="1" customHeight="1" ht="0.75" hidden="1">
      <c r="A14" s="1381"/>
      <c r="B14" s="1381"/>
      <c r="C14" s="1381"/>
      <c r="D14" s="1381"/>
      <c r="E14" s="2297"/>
      <c r="F14" s="2296"/>
      <c r="G14" s="1381"/>
      <c r="H14" s="1381"/>
      <c r="I14" s="1381"/>
      <c r="J14" s="1381"/>
      <c r="K14" s="1381"/>
      <c r="L14" s="1384"/>
      <c r="M14" s="1386"/>
      <c r="N14" s="1386"/>
      <c r="O14" s="35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1258"/>
      <c r="AP14" s="1258" t="str">
        <f>IF(T14="","",T14)</f>
        <v>Добавить централизованную систему для дифференциации</v>
      </c>
      <c r="AQ14" s="1258"/>
      <c r="AR14" s="1258"/>
      <c r="AS14" s="1649">
        <v>0</v>
      </c>
    </row>
    <row s="1649" customFormat="1" customHeight="1" ht="0.75" hidden="1">
      <c r="A15" s="1381"/>
      <c r="B15" s="1381"/>
      <c r="C15" s="1381"/>
      <c r="D15" s="1381"/>
      <c r="E15" s="2296"/>
      <c r="F15" s="1381"/>
      <c r="G15" s="1381"/>
      <c r="H15" s="1381"/>
      <c r="I15" s="1381"/>
      <c r="J15" s="1381"/>
      <c r="K15" s="1381"/>
      <c r="L15" s="1384"/>
      <c r="M15" s="1386"/>
      <c r="N15" s="1386"/>
      <c r="O15" s="35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1258"/>
      <c r="AP15" s="1258" t="str">
        <f>IF(T15="","",T15)</f>
        <v>Добавить территорию для дифференциации</v>
      </c>
      <c r="AQ15" s="1258"/>
      <c r="AR15" s="1258"/>
      <c r="AS15" s="1649">
        <v>0</v>
      </c>
    </row>
    <row customHeight="1" ht="14.25" hidden="1">
      <c r="AS16" s="1638">
        <v>0</v>
      </c>
    </row>
    <row customHeight="1" ht="14.25" hidden="1">
      <c r="AD17" s="1367"/>
      <c r="AE17" s="1367"/>
      <c r="AF17" s="1367"/>
      <c r="AG17" s="1368"/>
      <c r="AH17" s="2274"/>
      <c r="AI17" s="2275" t="s">
        <v>66</v>
      </c>
      <c r="AJ17" s="2274"/>
      <c r="AK17" s="2275" t="s">
        <v>66</v>
      </c>
      <c r="AS17" s="1638">
        <v>0</v>
      </c>
    </row>
    <row customHeight="1" ht="14.25" hidden="1">
      <c r="AD18" s="1367"/>
      <c r="AE18" s="1367"/>
      <c r="AF18" s="1367"/>
      <c r="AG18" s="335" t="str">
        <f>AH17&amp;"-"&amp;AJ17</f>
        <v>-</v>
      </c>
      <c r="AH18" s="2275"/>
      <c r="AI18" s="2275"/>
      <c r="AJ18" s="2275"/>
      <c r="AK18" s="2275"/>
      <c r="AS18" s="1638">
        <v>0</v>
      </c>
    </row>
    <row customHeight="1" ht="14.25" hidden="1">
      <c r="AS19" s="1638">
        <v>0</v>
      </c>
    </row>
    <row s="1373" customFormat="1" customHeight="1" ht="14.25" hidden="1">
      <c r="A20" s="1638"/>
      <c r="B20" s="1638"/>
      <c r="C20" s="1638"/>
      <c r="D20" s="1638"/>
      <c r="E20" s="1638"/>
      <c r="F20" s="1638"/>
      <c r="G20" s="1638"/>
      <c r="H20" s="1638"/>
      <c r="I20" s="1638"/>
      <c r="J20" s="1638"/>
      <c r="K20" s="1638"/>
      <c r="L20" s="1946"/>
      <c r="M20" s="1972"/>
      <c r="N20" s="1972"/>
      <c r="O20" s="1352" t="s">
        <v>578</v>
      </c>
      <c r="P20" s="1369"/>
      <c r="Q20" s="1378"/>
      <c r="R20" s="1378"/>
      <c r="S20" s="736"/>
      <c r="Z20" s="1374"/>
      <c r="AB20" s="1374"/>
      <c r="AH20" s="1374"/>
      <c r="AJ20" s="1374"/>
      <c r="AN20" s="1643"/>
      <c r="AO20" s="1643"/>
      <c r="AP20" s="1643"/>
      <c r="AQ20" s="1643"/>
      <c r="AR20" s="1643"/>
      <c r="AS20" s="1373">
        <v>0</v>
      </c>
    </row>
    <row s="1373" customFormat="1" customHeight="1" ht="14.25" hidden="1">
      <c r="A21" s="1638"/>
      <c r="B21" s="1638"/>
      <c r="C21" s="1638"/>
      <c r="D21" s="1638"/>
      <c r="E21" s="1638"/>
      <c r="F21" s="1638"/>
      <c r="G21" s="1638"/>
      <c r="H21" s="1638"/>
      <c r="I21" s="1638"/>
      <c r="J21" s="1638"/>
      <c r="K21" s="1638"/>
      <c r="L21" s="1946"/>
      <c r="M21" s="1972"/>
      <c r="N21" s="1972"/>
      <c r="O21" s="1972"/>
      <c r="P21" s="1369"/>
      <c r="Q21" s="1378"/>
      <c r="R21" s="1378"/>
      <c r="S21" s="736"/>
      <c r="AN21" s="1643"/>
      <c r="AO21" s="1643"/>
      <c r="AP21" s="1643"/>
      <c r="AQ21" s="1643"/>
      <c r="AR21" s="1643"/>
      <c r="AS21" s="1373">
        <v>0</v>
      </c>
    </row>
    <row s="1373" customFormat="1" customHeight="1" ht="14.25" hidden="1">
      <c r="A22" s="1638"/>
      <c r="B22" s="1638"/>
      <c r="C22" s="1638"/>
      <c r="D22" s="1638"/>
      <c r="E22" s="1638"/>
      <c r="F22" s="1638"/>
      <c r="G22" s="1638"/>
      <c r="H22" s="1638"/>
      <c r="I22" s="1638"/>
      <c r="J22" s="1638"/>
      <c r="K22" s="1638"/>
      <c r="L22" s="1946"/>
      <c r="M22" s="1972"/>
      <c r="N22" s="1972"/>
      <c r="O22" s="1317" t="s">
        <v>579</v>
      </c>
      <c r="P22" s="1369"/>
      <c r="Q22" s="1378"/>
      <c r="R22" s="1378"/>
      <c r="S22" s="736"/>
      <c r="T22" s="1373" t="s">
        <v>580</v>
      </c>
      <c r="AA22" s="602" t="s">
        <v>581</v>
      </c>
      <c r="AC22" s="602" t="s">
        <v>582</v>
      </c>
      <c r="AD22" s="1373" t="s">
        <v>580</v>
      </c>
      <c r="AI22" s="602" t="s">
        <v>583</v>
      </c>
      <c r="AK22" s="602" t="s">
        <v>582</v>
      </c>
      <c r="AN22" s="1643"/>
      <c r="AO22" s="1643"/>
      <c r="AP22" s="1643"/>
      <c r="AQ22" s="1643"/>
      <c r="AR22" s="1643"/>
      <c r="AS22" s="1373">
        <v>0</v>
      </c>
    </row>
    <row customHeight="1" ht="14.25" hidden="1">
      <c r="O23" s="1317"/>
      <c r="AS23" s="1638">
        <v>0</v>
      </c>
    </row>
    <row customHeight="1" ht="14.25" hidden="1">
      <c r="O24" s="1317"/>
      <c r="AS24" s="1638">
        <v>0</v>
      </c>
    </row>
    <row customHeight="1" ht="14.699999999999998">
      <c r="Q25" s="383"/>
      <c r="R25" s="383"/>
      <c r="S25" s="1282"/>
      <c r="T25" s="464"/>
      <c r="U25" s="464"/>
      <c r="V25" s="1642"/>
      <c r="W25" s="1642"/>
      <c r="X25" s="1642"/>
      <c r="Y25" s="1642"/>
      <c r="Z25" s="1642"/>
      <c r="AA25" s="1642"/>
      <c r="AB25" s="1642"/>
      <c r="AC25" s="1642"/>
      <c r="AD25" s="1642"/>
      <c r="AE25" s="1642"/>
      <c r="AF25" s="1642"/>
      <c r="AG25" s="1642"/>
      <c r="AH25" s="1642"/>
      <c r="AI25" s="1642"/>
      <c r="AJ25" s="1642"/>
      <c r="AK25" s="1642"/>
      <c r="AS25" s="1638">
        <v>14</v>
      </c>
    </row>
    <row customHeight="1" ht="14.699999999999998">
      <c r="Q26" s="383"/>
      <c r="R26" s="383"/>
      <c r="S26" s="225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5"/>
      <c r="U26" s="2255"/>
      <c r="V26" s="2255"/>
      <c r="W26" s="2255"/>
      <c r="X26" s="2255"/>
      <c r="Y26" s="2255"/>
      <c r="Z26" s="2255"/>
      <c r="AA26" s="2255"/>
      <c r="AB26" s="2255"/>
      <c r="AC26" s="2255"/>
      <c r="AD26" s="2255"/>
      <c r="AE26" s="2255"/>
      <c r="AF26" s="2255"/>
      <c r="AG26" s="2255"/>
      <c r="AH26" s="2255"/>
      <c r="AI26" s="2255"/>
      <c r="AJ26" s="2255"/>
      <c r="AK26" s="1250"/>
      <c r="AS26" s="1638">
        <v>14</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638">
        <v>14</v>
      </c>
    </row>
    <row customHeight="1" ht="14.25" hidden="1">
      <c r="Q28" s="383"/>
      <c r="R28" s="383"/>
      <c r="S28" s="1282"/>
      <c r="T28" s="464"/>
      <c r="U28" s="464"/>
      <c r="V28" s="329"/>
      <c r="W28" s="329"/>
      <c r="X28" s="329"/>
      <c r="Y28" s="329"/>
      <c r="Z28" s="329"/>
      <c r="AA28" s="329"/>
      <c r="AB28" s="329"/>
      <c r="AC28" s="329"/>
      <c r="AD28" s="329"/>
      <c r="AE28" s="329"/>
      <c r="AF28" s="329"/>
      <c r="AG28" s="329"/>
      <c r="AH28" s="329"/>
      <c r="AI28" s="329"/>
      <c r="AJ28" s="329"/>
      <c r="AK28" s="329"/>
      <c r="AL28" s="1642"/>
      <c r="AS28" s="1638">
        <v>0</v>
      </c>
    </row>
    <row s="1860" customFormat="1" customHeight="1" ht="25.5" hidden="1">
      <c r="A29" s="1255"/>
      <c r="B29" s="1255"/>
      <c r="C29" s="1255"/>
      <c r="D29" s="1255"/>
      <c r="E29" s="1255"/>
      <c r="F29" s="1255"/>
      <c r="G29" s="1255"/>
      <c r="H29" s="1255"/>
      <c r="I29" s="1255"/>
      <c r="J29" s="1255"/>
      <c r="K29" s="1255"/>
      <c r="L29" s="1387"/>
      <c r="M29" s="1255"/>
      <c r="N29" s="1255"/>
      <c r="O29" s="1255"/>
      <c r="S29" s="2257" t="s">
        <v>42</v>
      </c>
      <c r="T29" s="2257"/>
      <c r="U29" s="1379"/>
      <c r="V29" s="2258" t="str">
        <f>IF(TITLE_NAME_OR_PR_CHANGE="",IF(TITLE_NAME_OR_PR="","",TITLE_NAME_OR_PR),TITLE_NAME_OR_PR_CHANGE)</f>
        <v/>
      </c>
      <c r="W29" s="2258"/>
      <c r="X29" s="2258"/>
      <c r="Y29" s="2258"/>
      <c r="Z29" s="2258"/>
      <c r="AA29" s="2258"/>
      <c r="AB29" s="2258"/>
      <c r="AC29" s="1642"/>
      <c r="AD29" s="2258" t="str">
        <f>IF(TITLE_NAME_OR_PR_CHANGE="",IF(TITLE_NAME_OR_PR="","",TITLE_NAME_OR_PR),TITLE_NAME_OR_PR_CHANGE)</f>
        <v/>
      </c>
      <c r="AE29" s="2258"/>
      <c r="AF29" s="2258"/>
      <c r="AG29" s="2258"/>
      <c r="AH29" s="2258"/>
      <c r="AI29" s="2258"/>
      <c r="AJ29" s="2258"/>
      <c r="AK29" s="1642"/>
      <c r="AL29" s="1642"/>
      <c r="AM29" s="287"/>
      <c r="AN29" s="375"/>
      <c r="AO29" s="375"/>
      <c r="AP29" s="375"/>
      <c r="AQ29" s="375"/>
      <c r="AR29" s="375"/>
      <c r="AS29" s="425">
        <v>0</v>
      </c>
    </row>
    <row s="1860" customFormat="1" customHeight="1" ht="18.75" hidden="1">
      <c r="A30" s="1255"/>
      <c r="B30" s="1255"/>
      <c r="C30" s="1255"/>
      <c r="D30" s="1255"/>
      <c r="E30" s="1255"/>
      <c r="F30" s="1255"/>
      <c r="G30" s="1255"/>
      <c r="H30" s="1255"/>
      <c r="I30" s="1255"/>
      <c r="J30" s="1255"/>
      <c r="K30" s="1255"/>
      <c r="L30" s="1387"/>
      <c r="M30" s="1255"/>
      <c r="N30" s="1255"/>
      <c r="O30" s="1255"/>
      <c r="S30" s="2257" t="s">
        <v>584</v>
      </c>
      <c r="T30" s="2257"/>
      <c r="U30" s="1379"/>
      <c r="V30" s="2271" t="str">
        <f>IF(TITLE_DATE_PR_CHANGE="",IF(TITLE_DATE_PR="","",TITLE_DATE_PR),TITLE_DATE_PR_CHANGE)</f>
        <v>45432</v>
      </c>
      <c r="W30" s="2271"/>
      <c r="X30" s="2271"/>
      <c r="Y30" s="2271"/>
      <c r="Z30" s="2271"/>
      <c r="AA30" s="2271"/>
      <c r="AB30" s="2271"/>
      <c r="AC30" s="1642"/>
      <c r="AD30" s="2271" t="str">
        <f>IF(TITLE_DATE_PR_CHANGE="",IF(TITLE_DATE_PR="","",TITLE_DATE_PR),TITLE_DATE_PR_CHANGE)</f>
        <v>45432</v>
      </c>
      <c r="AE30" s="2271"/>
      <c r="AF30" s="2271"/>
      <c r="AG30" s="2271"/>
      <c r="AH30" s="2271"/>
      <c r="AI30" s="2271"/>
      <c r="AJ30" s="2271"/>
      <c r="AK30" s="1642"/>
      <c r="AL30" s="1642"/>
      <c r="AM30" s="287"/>
      <c r="AN30" s="375"/>
      <c r="AO30" s="375"/>
      <c r="AP30" s="375"/>
      <c r="AQ30" s="375"/>
      <c r="AR30" s="375"/>
      <c r="AS30" s="425">
        <v>0</v>
      </c>
    </row>
    <row s="1860" customFormat="1" customHeight="1" ht="18.75" hidden="1">
      <c r="A31" s="1255"/>
      <c r="B31" s="1255"/>
      <c r="C31" s="1255"/>
      <c r="D31" s="1255"/>
      <c r="E31" s="1255"/>
      <c r="F31" s="1255"/>
      <c r="G31" s="1255"/>
      <c r="H31" s="1255"/>
      <c r="I31" s="1255"/>
      <c r="J31" s="1255"/>
      <c r="K31" s="1255"/>
      <c r="L31" s="1387"/>
      <c r="M31" s="1255"/>
      <c r="N31" s="1255"/>
      <c r="O31" s="1255"/>
      <c r="S31" s="2257" t="s">
        <v>585</v>
      </c>
      <c r="T31" s="2257"/>
      <c r="U31" s="1379"/>
      <c r="V31" s="2258" t="str">
        <f>IF(TITLE_NUMBER_PR_CHANGE="",IF(TITLE_NUMBER_PR="","",TITLE_NUMBER_PR),TITLE_NUMBER_PR_CHANGE)</f>
        <v>29-12/1427</v>
      </c>
      <c r="W31" s="2258"/>
      <c r="X31" s="2258"/>
      <c r="Y31" s="2258"/>
      <c r="Z31" s="2258"/>
      <c r="AA31" s="2258"/>
      <c r="AB31" s="2258"/>
      <c r="AC31" s="1642"/>
      <c r="AD31" s="2258" t="str">
        <f>IF(TITLE_NUMBER_PR_CHANGE="",IF(TITLE_NUMBER_PR="","",TITLE_NUMBER_PR),TITLE_NUMBER_PR_CHANGE)</f>
        <v>29-12/1427</v>
      </c>
      <c r="AE31" s="2258"/>
      <c r="AF31" s="2258"/>
      <c r="AG31" s="2258"/>
      <c r="AH31" s="2258"/>
      <c r="AI31" s="2258"/>
      <c r="AJ31" s="2258"/>
      <c r="AK31" s="1642"/>
      <c r="AL31" s="1642"/>
      <c r="AM31" s="287"/>
      <c r="AN31" s="375"/>
      <c r="AO31" s="375"/>
      <c r="AP31" s="375"/>
      <c r="AQ31" s="375"/>
      <c r="AR31" s="375"/>
      <c r="AS31" s="425">
        <v>0</v>
      </c>
    </row>
    <row s="1860" customFormat="1" customHeight="1" ht="18.75" hidden="1">
      <c r="A32" s="1255"/>
      <c r="B32" s="1255"/>
      <c r="C32" s="1255"/>
      <c r="D32" s="1255"/>
      <c r="E32" s="1255"/>
      <c r="F32" s="1255"/>
      <c r="G32" s="1255"/>
      <c r="H32" s="1255"/>
      <c r="I32" s="1255"/>
      <c r="J32" s="1255"/>
      <c r="K32" s="1255"/>
      <c r="L32" s="1387"/>
      <c r="M32" s="1255"/>
      <c r="N32" s="1255"/>
      <c r="O32" s="1255"/>
      <c r="S32" s="2257" t="s">
        <v>43</v>
      </c>
      <c r="T32" s="2257"/>
      <c r="U32" s="1379"/>
      <c r="V32" s="2258" t="str">
        <f>IF(TITLE_IST_PUB_CHANGE="",IF(TITLE_IST_PUB="","",TITLE_IST_PUB),TITLE_IST_PUB_CHANGE)</f>
        <v/>
      </c>
      <c r="W32" s="2258"/>
      <c r="X32" s="2258"/>
      <c r="Y32" s="2258"/>
      <c r="Z32" s="2258"/>
      <c r="AA32" s="2258"/>
      <c r="AB32" s="2258"/>
      <c r="AC32" s="1642"/>
      <c r="AD32" s="2258" t="str">
        <f>IF(TITLE_IST_PUB_CHANGE="",IF(TITLE_IST_PUB="","",TITLE_IST_PUB),TITLE_IST_PUB_CHANGE)</f>
        <v/>
      </c>
      <c r="AE32" s="2258"/>
      <c r="AF32" s="2258"/>
      <c r="AG32" s="2258"/>
      <c r="AH32" s="2258"/>
      <c r="AI32" s="2258"/>
      <c r="AJ32" s="2258"/>
      <c r="AK32" s="1642"/>
      <c r="AL32" s="1642"/>
      <c r="AM32" s="287"/>
      <c r="AN32" s="375"/>
      <c r="AO32" s="375"/>
      <c r="AP32" s="375"/>
      <c r="AQ32" s="375"/>
      <c r="AR32" s="375"/>
      <c r="AS32" s="425">
        <v>0</v>
      </c>
    </row>
    <row customHeight="1" ht="14.25" hidden="1">
      <c r="Q33" s="383"/>
      <c r="R33" s="383"/>
      <c r="S33" s="1282"/>
      <c r="T33" s="464"/>
      <c r="U33" s="464"/>
      <c r="V33" s="329"/>
      <c r="W33" s="329"/>
      <c r="X33" s="329"/>
      <c r="Y33" s="329"/>
      <c r="Z33" s="329"/>
      <c r="AA33" s="329"/>
      <c r="AB33" s="329"/>
      <c r="AC33" s="329"/>
      <c r="AD33" s="329"/>
      <c r="AE33" s="329"/>
      <c r="AF33" s="329"/>
      <c r="AG33" s="329"/>
      <c r="AH33" s="329"/>
      <c r="AI33" s="329"/>
      <c r="AJ33" s="329"/>
      <c r="AK33" s="329"/>
      <c r="AL33" s="1642"/>
      <c r="AS33" s="1638">
        <v>0</v>
      </c>
    </row>
    <row s="1860" customFormat="1" customHeight="1" ht="18.75" hidden="1">
      <c r="A34" s="1255"/>
      <c r="B34" s="1255"/>
      <c r="C34" s="1255"/>
      <c r="D34" s="1255"/>
      <c r="E34" s="1255"/>
      <c r="F34" s="1255"/>
      <c r="G34" s="1255"/>
      <c r="H34" s="1255"/>
      <c r="I34" s="1255"/>
      <c r="J34" s="1255"/>
      <c r="K34" s="1255"/>
      <c r="L34" s="1387"/>
      <c r="M34" s="1255"/>
      <c r="N34" s="1255"/>
      <c r="O34" s="1255"/>
      <c r="S34" s="2257" t="s">
        <v>586</v>
      </c>
      <c r="T34" s="2257"/>
      <c r="U34" s="1379"/>
      <c r="V34" s="2271" t="str">
        <f>IF(TITLE_DATE_PR_CHANGE="",IF(TITLE_DATE_PR="","",TITLE_DATE_PR),TITLE_DATE_PR_CHANGE)</f>
        <v>45432</v>
      </c>
      <c r="W34" s="2271"/>
      <c r="X34" s="2271"/>
      <c r="Y34" s="2271"/>
      <c r="Z34" s="2271"/>
      <c r="AA34" s="2271"/>
      <c r="AB34" s="2271"/>
      <c r="AC34" s="1642"/>
      <c r="AD34" s="2271" t="str">
        <f>IF(TITLE_DATE_PR_CHANGE="",IF(TITLE_DATE_PR="","",TITLE_DATE_PR),TITLE_DATE_PR_CHANGE)</f>
        <v>45432</v>
      </c>
      <c r="AE34" s="2271"/>
      <c r="AF34" s="2271"/>
      <c r="AG34" s="2271"/>
      <c r="AH34" s="2271"/>
      <c r="AI34" s="2271"/>
      <c r="AJ34" s="2271"/>
      <c r="AK34" s="1642"/>
      <c r="AL34" s="1642"/>
      <c r="AM34" s="287"/>
      <c r="AN34" s="375"/>
      <c r="AO34" s="375"/>
      <c r="AP34" s="375"/>
      <c r="AQ34" s="375"/>
      <c r="AR34" s="375"/>
      <c r="AS34" s="425">
        <v>0</v>
      </c>
    </row>
    <row s="1860" customFormat="1" customHeight="1" ht="18.75" hidden="1">
      <c r="A35" s="1255"/>
      <c r="B35" s="1255"/>
      <c r="C35" s="1255"/>
      <c r="D35" s="1255"/>
      <c r="E35" s="1255"/>
      <c r="F35" s="1255"/>
      <c r="G35" s="1255"/>
      <c r="H35" s="1255"/>
      <c r="I35" s="1255"/>
      <c r="J35" s="1255"/>
      <c r="K35" s="1255"/>
      <c r="L35" s="1387"/>
      <c r="M35" s="1255"/>
      <c r="N35" s="1255"/>
      <c r="O35" s="1255"/>
      <c r="S35" s="2257" t="s">
        <v>587</v>
      </c>
      <c r="T35" s="2257"/>
      <c r="U35" s="1379"/>
      <c r="V35" s="2258" t="str">
        <f>IF(TITLE_NUMBER_PR_CHANGE="",IF(TITLE_NUMBER_PR="","",TITLE_NUMBER_PR),TITLE_NUMBER_PR_CHANGE)</f>
        <v>29-12/1427</v>
      </c>
      <c r="W35" s="2258"/>
      <c r="X35" s="2258"/>
      <c r="Y35" s="2258"/>
      <c r="Z35" s="2258"/>
      <c r="AA35" s="2258"/>
      <c r="AB35" s="2258"/>
      <c r="AC35" s="1642"/>
      <c r="AD35" s="2258" t="str">
        <f>IF(TITLE_NUMBER_PR_CHANGE="",IF(TITLE_NUMBER_PR="","",TITLE_NUMBER_PR),TITLE_NUMBER_PR_CHANGE)</f>
        <v>29-12/1427</v>
      </c>
      <c r="AE35" s="2258"/>
      <c r="AF35" s="2258"/>
      <c r="AG35" s="2258"/>
      <c r="AH35" s="2258"/>
      <c r="AI35" s="2258"/>
      <c r="AJ35" s="2258"/>
      <c r="AK35" s="1642"/>
      <c r="AL35" s="1642"/>
      <c r="AM35" s="287"/>
      <c r="AN35" s="375"/>
      <c r="AO35" s="375"/>
      <c r="AP35" s="375"/>
      <c r="AQ35" s="375"/>
      <c r="AR35" s="375"/>
      <c r="AS35" s="425">
        <v>0</v>
      </c>
    </row>
    <row s="1860" customFormat="1" customHeight="1" ht="0">
      <c r="A36" s="1255"/>
      <c r="B36" s="1255"/>
      <c r="C36" s="1255"/>
      <c r="D36" s="1255"/>
      <c r="E36" s="1255"/>
      <c r="F36" s="1255"/>
      <c r="G36" s="1255"/>
      <c r="H36" s="1255"/>
      <c r="I36" s="1255"/>
      <c r="J36" s="1255"/>
      <c r="K36" s="1255"/>
      <c r="L36" s="1387"/>
      <c r="M36" s="1255"/>
      <c r="N36" s="1255"/>
      <c r="O36" s="1255"/>
      <c r="S36" s="1642"/>
      <c r="T36" s="1642"/>
      <c r="U36" s="1977"/>
      <c r="V36" s="1642"/>
      <c r="W36" s="1642"/>
      <c r="X36" s="1642"/>
      <c r="Y36" s="1642"/>
      <c r="Z36" s="1642"/>
      <c r="AA36" s="1642"/>
      <c r="AB36" s="1642"/>
      <c r="AC36" s="1649" t="s">
        <v>588</v>
      </c>
      <c r="AD36" s="1642"/>
      <c r="AE36" s="1642"/>
      <c r="AF36" s="1642"/>
      <c r="AG36" s="1642"/>
      <c r="AH36" s="1642"/>
      <c r="AI36" s="1642"/>
      <c r="AJ36" s="1642"/>
      <c r="AK36" s="1649" t="s">
        <v>588</v>
      </c>
      <c r="AN36" s="375"/>
      <c r="AO36" s="375"/>
      <c r="AP36" s="375"/>
      <c r="AQ36" s="375"/>
      <c r="AR36" s="375"/>
      <c r="AS36" s="425">
        <v>0</v>
      </c>
    </row>
    <row customHeight="1" ht="14.699999999999998">
      <c r="Q37" s="383"/>
      <c r="R37" s="383"/>
      <c r="S37" s="1282"/>
      <c r="T37" s="464"/>
      <c r="U37" s="1251"/>
      <c r="V37" s="2259"/>
      <c r="W37" s="2259"/>
      <c r="X37" s="2259"/>
      <c r="Y37" s="2259"/>
      <c r="Z37" s="2259"/>
      <c r="AA37" s="2259"/>
      <c r="AB37" s="2259"/>
      <c r="AC37" s="2259"/>
      <c r="AD37" s="2259"/>
      <c r="AE37" s="2259"/>
      <c r="AF37" s="2259"/>
      <c r="AG37" s="2259"/>
      <c r="AH37" s="2259"/>
      <c r="AI37" s="2259"/>
      <c r="AJ37" s="2259"/>
      <c r="AK37" s="2259"/>
      <c r="AS37" s="1638">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638">
        <v>14</v>
      </c>
    </row>
    <row customHeight="1" ht="14.699999999999998">
      <c r="Q39" s="383"/>
      <c r="R39" s="383"/>
      <c r="S39" s="2280" t="s">
        <v>88</v>
      </c>
      <c r="T39" s="2216" t="s">
        <v>589</v>
      </c>
      <c r="U39" s="344"/>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638">
        <v>14</v>
      </c>
    </row>
    <row customHeight="1" ht="35.699999999999996">
      <c r="Q40" s="383"/>
      <c r="R40" s="383"/>
      <c r="S40" s="2280"/>
      <c r="T40" s="2216"/>
      <c r="U40" s="1038"/>
      <c r="V40" s="2267" t="s">
        <v>594</v>
      </c>
      <c r="W40" s="2290" t="s">
        <v>595</v>
      </c>
      <c r="X40" s="2269" t="s">
        <v>596</v>
      </c>
      <c r="Y40" s="2270"/>
      <c r="Z40" s="2269" t="s">
        <v>609</v>
      </c>
      <c r="AA40" s="2276"/>
      <c r="AB40" s="2270"/>
      <c r="AC40" s="2285"/>
      <c r="AD40" s="2267" t="s">
        <v>594</v>
      </c>
      <c r="AE40" s="2290" t="s">
        <v>595</v>
      </c>
      <c r="AF40" s="2269" t="s">
        <v>596</v>
      </c>
      <c r="AG40" s="2270"/>
      <c r="AH40" s="2269" t="s">
        <v>597</v>
      </c>
      <c r="AI40" s="2276"/>
      <c r="AJ40" s="2270"/>
      <c r="AK40" s="2285"/>
      <c r="AL40" s="2288"/>
      <c r="AM40" s="2134"/>
      <c r="AS40" s="1638">
        <v>34</v>
      </c>
    </row>
    <row customHeight="1" ht="35.699999999999996">
      <c r="A41" s="1273"/>
      <c r="B41" s="1273" t="s">
        <v>227</v>
      </c>
      <c r="C41" s="1273" t="s">
        <v>228</v>
      </c>
      <c r="D41" s="1273" t="s">
        <v>229</v>
      </c>
      <c r="E41" s="1317" t="s">
        <v>598</v>
      </c>
      <c r="F41" s="1317" t="s">
        <v>599</v>
      </c>
      <c r="G41" s="1317" t="s">
        <v>600</v>
      </c>
      <c r="H41" s="1317" t="s">
        <v>601</v>
      </c>
      <c r="I41" s="1317" t="s">
        <v>602</v>
      </c>
      <c r="J41" s="1317" t="s">
        <v>603</v>
      </c>
      <c r="K41" s="1317" t="s">
        <v>604</v>
      </c>
      <c r="L41" s="1317" t="s">
        <v>579</v>
      </c>
      <c r="Q41" s="383"/>
      <c r="R41" s="383"/>
      <c r="S41" s="2280"/>
      <c r="T41" s="2216"/>
      <c r="U41" s="309"/>
      <c r="V41" s="2268"/>
      <c r="W41" s="2291"/>
      <c r="X41" s="1945" t="s">
        <v>605</v>
      </c>
      <c r="Y41" s="1945" t="s">
        <v>606</v>
      </c>
      <c r="Z41" s="1945" t="s">
        <v>607</v>
      </c>
      <c r="AA41" s="2277" t="s">
        <v>608</v>
      </c>
      <c r="AB41" s="2278"/>
      <c r="AC41" s="2286"/>
      <c r="AD41" s="2268"/>
      <c r="AE41" s="2291"/>
      <c r="AF41" s="1945" t="s">
        <v>605</v>
      </c>
      <c r="AG41" s="1945" t="s">
        <v>606</v>
      </c>
      <c r="AH41" s="1945" t="s">
        <v>607</v>
      </c>
      <c r="AI41" s="2277" t="s">
        <v>608</v>
      </c>
      <c r="AJ41" s="2278"/>
      <c r="AK41" s="2286"/>
      <c r="AL41" s="2289"/>
      <c r="AM41" s="2134"/>
      <c r="AS41" s="1638">
        <v>34</v>
      </c>
    </row>
    <row s="1648" customFormat="1" customHeight="1" ht="11.25" hidden="1">
      <c r="A42" s="1273"/>
      <c r="B42" s="1273"/>
      <c r="C42" s="1273"/>
      <c r="D42" s="1273"/>
      <c r="E42" s="1273"/>
      <c r="F42" s="1273"/>
      <c r="G42" s="1273"/>
      <c r="H42" s="1273"/>
      <c r="I42" s="1273"/>
      <c r="J42" s="1273"/>
      <c r="K42" s="1273"/>
      <c r="L42" s="1317"/>
      <c r="M42" s="1972"/>
      <c r="N42" s="1972"/>
      <c r="O42" s="1972"/>
      <c r="P42" s="1253"/>
      <c r="Q42" s="1254"/>
      <c r="R42" s="1261">
        <v>1</v>
      </c>
      <c r="S42" s="1284" t="s">
        <v>108</v>
      </c>
      <c r="T42" s="1262" t="s">
        <v>99</v>
      </c>
      <c r="U42" s="1252" t="str">
        <f>OFFSET(U42,0,-1)</f>
        <v>2</v>
      </c>
      <c r="V42" s="1963">
        <f>OFFSET(V42,0,-1)+1</f>
        <v>3</v>
      </c>
      <c r="W42" s="1963"/>
      <c r="X42" s="1963">
        <f>OFFSET(X42,0,-1)+1</f>
        <v>1</v>
      </c>
      <c r="Y42" s="1963">
        <f>OFFSET(Y42,0,-1)+1</f>
        <v>2</v>
      </c>
      <c r="Z42" s="1963">
        <f>OFFSET(Z42,0,-1)+1</f>
        <v>3</v>
      </c>
      <c r="AA42" s="2279">
        <f>OFFSET(AA42,0,-1)+1</f>
        <v>4</v>
      </c>
      <c r="AB42" s="2279"/>
      <c r="AC42" s="1963">
        <f>OFFSET(AC42,0,-2)+1</f>
        <v>5</v>
      </c>
      <c r="AD42" s="1963">
        <f>OFFSET(AD42,0,-1)+1</f>
        <v>6</v>
      </c>
      <c r="AE42" s="1963"/>
      <c r="AF42" s="1963">
        <f>OFFSET(AF42,0,-1)+1</f>
        <v>1</v>
      </c>
      <c r="AG42" s="1963">
        <f>OFFSET(AG42,0,-1)+1</f>
        <v>2</v>
      </c>
      <c r="AH42" s="1963">
        <f>OFFSET(AH42,0,-1)+1</f>
        <v>3</v>
      </c>
      <c r="AI42" s="2279">
        <f>OFFSET(AI42,0,-1)+1</f>
        <v>4</v>
      </c>
      <c r="AJ42" s="2279"/>
      <c r="AK42" s="1963">
        <f>OFFSET(AK42,0,-2)+1</f>
        <v>5</v>
      </c>
      <c r="AL42" s="1252">
        <f>OFFSET(AL42,0,-1)</f>
        <v>5</v>
      </c>
      <c r="AM42" s="1963">
        <f>OFFSET(AM42,0,-1)+1</f>
        <v>6</v>
      </c>
      <c r="AN42" s="1643"/>
      <c r="AO42" s="1643"/>
      <c r="AP42" s="1643"/>
      <c r="AQ42" s="1643"/>
      <c r="AR42" s="1643"/>
      <c r="AS42" s="1648">
        <v>0</v>
      </c>
    </row>
    <row customHeight="1" ht="22.049999999999997">
      <c r="A43" s="1274" t="s">
        <v>296</v>
      </c>
      <c r="B43" s="1274"/>
      <c r="C43" s="1274"/>
      <c r="D43" s="1274"/>
      <c r="E43" s="2296">
        <v>1</v>
      </c>
      <c r="F43" s="1274"/>
      <c r="G43" s="1274"/>
      <c r="H43" s="1274"/>
      <c r="I43" s="1274"/>
      <c r="J43" s="1274"/>
      <c r="K43" s="1274"/>
      <c r="L43" s="1317"/>
      <c r="M43" s="1617"/>
      <c r="N43" s="1617"/>
      <c r="O43" s="1617"/>
      <c r="P43" s="1597"/>
      <c r="Q43" s="367"/>
      <c r="R43" s="362"/>
      <c r="S43" s="1965">
        <f>INDEX(PT_DIFFERENTIATION_NUM_NTAR,MATCH(A43,PT_DIFFERENTIATION_NTAR_ID,0))</f>
        <v>0</v>
      </c>
      <c r="T43" s="1532"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31"/>
      <c r="AP43" s="1631" t="str">
        <f>IF(T43="","",T43)</f>
        <v>Наименование тарифа</v>
      </c>
      <c r="AQ43" s="1631"/>
      <c r="AR43" s="1631"/>
      <c r="AS43" s="1638">
        <v>21</v>
      </c>
    </row>
    <row customHeight="1" ht="22.049999999999997">
      <c r="A44" s="1274" t="s">
        <v>296</v>
      </c>
      <c r="B44" s="1274" t="s">
        <v>297</v>
      </c>
      <c r="C44" s="1274"/>
      <c r="D44" s="1274"/>
      <c r="E44" s="2297"/>
      <c r="F44" s="2296">
        <v>1</v>
      </c>
      <c r="G44" s="1274"/>
      <c r="H44" s="1274"/>
      <c r="I44" s="1274"/>
      <c r="J44" s="1274"/>
      <c r="K44" s="1274"/>
      <c r="L44" s="1317"/>
      <c r="M44" s="1617"/>
      <c r="N44" s="1617"/>
      <c r="O44" s="1617"/>
      <c r="P44" s="1947"/>
      <c r="Q44" s="359"/>
      <c r="R44" s="360"/>
      <c r="S44" s="1965" t="str">
        <f>INDEX(PT_DIFFERENTIATION_NUM_TER,MATCH(B44,PT_DIFFERENTIATION_TER_ID,0))</f>
        <v>.</v>
      </c>
      <c r="T44" s="1529"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1631"/>
      <c r="AP44" s="1631" t="str">
        <f>IF(T44="","",T44)</f>
        <v>Территория действия тарифа</v>
      </c>
      <c r="AQ44" s="1631"/>
      <c r="AR44" s="1631"/>
      <c r="AS44" s="1638">
        <v>21</v>
      </c>
    </row>
    <row customHeight="1" ht="24">
      <c r="A45" s="1274" t="s">
        <v>296</v>
      </c>
      <c r="B45" s="1274" t="s">
        <v>297</v>
      </c>
      <c r="C45" s="1274" t="s">
        <v>298</v>
      </c>
      <c r="D45" s="1274"/>
      <c r="E45" s="2297"/>
      <c r="F45" s="2297"/>
      <c r="G45" s="2296">
        <v>1</v>
      </c>
      <c r="H45" s="1274"/>
      <c r="I45" s="1274"/>
      <c r="J45" s="1274"/>
      <c r="K45" s="1274"/>
      <c r="L45" s="1317"/>
      <c r="M45" s="1617"/>
      <c r="N45" s="1617"/>
      <c r="O45" s="1617"/>
      <c r="P45" s="361"/>
      <c r="Q45" s="359"/>
      <c r="R45" s="360"/>
      <c r="S45" s="1965"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1631"/>
      <c r="AP45" s="1631" t="str">
        <f>IF(T45="","",T45)</f>
        <v>Наименование системы теплоснабжения </v>
      </c>
      <c r="AQ45" s="1631"/>
      <c r="AR45" s="1631"/>
      <c r="AS45" s="1638">
        <v>23</v>
      </c>
    </row>
    <row customHeight="1" ht="22.049999999999997">
      <c r="A46" s="1274" t="s">
        <v>296</v>
      </c>
      <c r="B46" s="1274" t="s">
        <v>297</v>
      </c>
      <c r="C46" s="1274" t="s">
        <v>298</v>
      </c>
      <c r="D46" s="1274" t="s">
        <v>299</v>
      </c>
      <c r="E46" s="2297"/>
      <c r="F46" s="2297"/>
      <c r="G46" s="2297"/>
      <c r="H46" s="2296">
        <v>1</v>
      </c>
      <c r="I46" s="1274"/>
      <c r="J46" s="1274"/>
      <c r="K46" s="1274"/>
      <c r="L46" s="1317"/>
      <c r="M46" s="1617"/>
      <c r="N46" s="1617"/>
      <c r="O46" s="1617"/>
      <c r="P46" s="361"/>
      <c r="Q46" s="359"/>
      <c r="R46" s="360"/>
      <c r="S46" s="1965"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1631"/>
      <c r="AP46" s="1631" t="str">
        <f>IF(T46="","",T46)</f>
        <v>Источник тепловой энергии  </v>
      </c>
      <c r="AQ46" s="1631"/>
      <c r="AR46" s="1631"/>
      <c r="AS46" s="1638">
        <v>21</v>
      </c>
    </row>
    <row customHeight="1" ht="49.5">
      <c r="A47" s="1274" t="s">
        <v>296</v>
      </c>
      <c r="B47" s="1274" t="s">
        <v>297</v>
      </c>
      <c r="C47" s="1274" t="s">
        <v>298</v>
      </c>
      <c r="D47" s="1274" t="s">
        <v>299</v>
      </c>
      <c r="E47" s="2297"/>
      <c r="F47" s="2297"/>
      <c r="G47" s="2297"/>
      <c r="H47" s="2297"/>
      <c r="I47" s="2134" t="str">
        <f>S46&amp;".1"</f>
        <v>....1</v>
      </c>
      <c r="J47" s="1274"/>
      <c r="K47" s="1274"/>
      <c r="L47" s="1317" t="s">
        <v>566</v>
      </c>
      <c r="P47" s="2264">
        <v>1</v>
      </c>
      <c r="Q47" s="1961"/>
      <c r="R47" s="363"/>
      <c r="S47" s="1965" t="str">
        <f>$I47</f>
        <v>....1</v>
      </c>
      <c r="T47" s="292" t="s">
        <v>567</v>
      </c>
      <c r="U47" s="307"/>
      <c r="V47" s="2252"/>
      <c r="W47" s="2253"/>
      <c r="X47" s="2253"/>
      <c r="Y47" s="2253"/>
      <c r="Z47" s="2253"/>
      <c r="AA47" s="2253"/>
      <c r="AB47" s="2253"/>
      <c r="AC47" s="2254"/>
      <c r="AD47" s="2252"/>
      <c r="AE47" s="2253"/>
      <c r="AF47" s="2253"/>
      <c r="AG47" s="2253"/>
      <c r="AH47" s="2253"/>
      <c r="AI47" s="2253"/>
      <c r="AJ47" s="2253"/>
      <c r="AK47" s="2253"/>
      <c r="AL47" s="2254"/>
      <c r="AM47" s="1265" t="s">
        <v>568</v>
      </c>
      <c r="AO47" s="1631"/>
      <c r="AP47" s="1631" t="str">
        <f>IF(T47="","",T47)</f>
        <v>Схема подключения теплопотребляющей установки к коллектору источника тепловой энергии</v>
      </c>
      <c r="AQ47" s="1631"/>
      <c r="AR47" s="1631"/>
      <c r="AS47" s="1638">
        <v>47</v>
      </c>
    </row>
    <row customHeight="1" ht="22.049999999999997">
      <c r="A48" s="1274" t="s">
        <v>296</v>
      </c>
      <c r="B48" s="1274" t="s">
        <v>297</v>
      </c>
      <c r="C48" s="1274" t="s">
        <v>298</v>
      </c>
      <c r="D48" s="1274" t="s">
        <v>299</v>
      </c>
      <c r="E48" s="2297"/>
      <c r="F48" s="2297"/>
      <c r="G48" s="2297"/>
      <c r="H48" s="2297"/>
      <c r="I48" s="2108"/>
      <c r="J48" s="2134" t="str">
        <f>I47&amp;".1"</f>
        <v>....1.1</v>
      </c>
      <c r="K48" s="1274"/>
      <c r="L48" s="1317" t="s">
        <v>569</v>
      </c>
      <c r="P48" s="2264"/>
      <c r="Q48" s="2264">
        <v>1</v>
      </c>
      <c r="R48" s="364"/>
      <c r="S48" s="1965" t="str">
        <f>$J48</f>
        <v>....1.1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1631"/>
      <c r="AP48" s="1631" t="str">
        <f>IF(T48="","",T48)</f>
        <v>Группа потребителей</v>
      </c>
      <c r="AQ48" s="1631"/>
      <c r="AR48" s="1631"/>
      <c r="AS48" s="1638">
        <v>21</v>
      </c>
    </row>
    <row customHeight="1" ht="22.049999999999997">
      <c r="A49" s="1274" t="s">
        <v>296</v>
      </c>
      <c r="B49" s="1274" t="s">
        <v>297</v>
      </c>
      <c r="C49" s="1274" t="s">
        <v>298</v>
      </c>
      <c r="D49" s="1274" t="s">
        <v>299</v>
      </c>
      <c r="E49" s="2297"/>
      <c r="F49" s="2297"/>
      <c r="G49" s="2297"/>
      <c r="H49" s="2297"/>
      <c r="I49" s="2108"/>
      <c r="J49" s="2108"/>
      <c r="K49" s="2134" t="str">
        <f>J48&amp;".1"</f>
        <v>....1.1.1</v>
      </c>
      <c r="L49" s="1317" t="s">
        <v>572</v>
      </c>
      <c r="P49" s="2264"/>
      <c r="Q49" s="2264"/>
      <c r="R49" s="364">
        <v>1</v>
      </c>
      <c r="S49" s="1965" t="str">
        <f>$K49</f>
        <v>....1.1.1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573</v>
      </c>
      <c r="AN49" s="1643">
        <f>STRCHECKDATE(V50:AL50)</f>
      </c>
      <c r="AO49" s="1631"/>
      <c r="AP49" s="1631" t="str">
        <f>IF(T49="","",T49)</f>
        <v/>
      </c>
      <c r="AQ49" s="1631"/>
      <c r="AR49" s="1631"/>
      <c r="AS49" s="1638">
        <v>21</v>
      </c>
    </row>
    <row customHeight="1" ht="1.05">
      <c r="A50" s="1274" t="s">
        <v>296</v>
      </c>
      <c r="B50" s="1274" t="s">
        <v>297</v>
      </c>
      <c r="C50" s="1274" t="s">
        <v>298</v>
      </c>
      <c r="D50" s="1274" t="s">
        <v>299</v>
      </c>
      <c r="E50" s="2297"/>
      <c r="F50" s="2297"/>
      <c r="G50" s="2297"/>
      <c r="H50" s="2297"/>
      <c r="I50" s="2108"/>
      <c r="J50" s="2108"/>
      <c r="K50" s="2134"/>
      <c r="L50" s="1317"/>
      <c r="P50" s="2264"/>
      <c r="Q50" s="2264"/>
      <c r="R50" s="364"/>
      <c r="S50" s="1974"/>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1631"/>
      <c r="AP50" s="1631" t="str">
        <f>IF(T50="","",T50)</f>
        <v/>
      </c>
      <c r="AQ50" s="1631"/>
      <c r="AR50" s="1631"/>
      <c r="AS50" s="1638">
        <v>1</v>
      </c>
    </row>
    <row customHeight="1" ht="11.549999999999999">
      <c r="A51" s="1274" t="s">
        <v>296</v>
      </c>
      <c r="B51" s="1274" t="s">
        <v>297</v>
      </c>
      <c r="C51" s="1274" t="s">
        <v>298</v>
      </c>
      <c r="D51" s="1274" t="s">
        <v>299</v>
      </c>
      <c r="E51" s="2297"/>
      <c r="F51" s="2297"/>
      <c r="G51" s="2297"/>
      <c r="H51" s="2297"/>
      <c r="I51" s="2108"/>
      <c r="J51" s="2134"/>
      <c r="K51" s="1274"/>
      <c r="L51" s="1317"/>
      <c r="P51" s="2264"/>
      <c r="Q51" s="2264"/>
      <c r="R51" s="363"/>
      <c r="S51" s="1285"/>
      <c r="T51" s="295" t="s">
        <v>574</v>
      </c>
      <c r="U51" s="607"/>
      <c r="V51" s="607"/>
      <c r="W51" s="607"/>
      <c r="X51" s="607"/>
      <c r="Y51" s="607"/>
      <c r="Z51" s="607"/>
      <c r="AA51" s="607"/>
      <c r="AB51" s="607"/>
      <c r="AC51" s="607"/>
      <c r="AD51" s="607"/>
      <c r="AE51" s="607"/>
      <c r="AF51" s="607"/>
      <c r="AG51" s="607"/>
      <c r="AH51" s="607"/>
      <c r="AI51" s="607"/>
      <c r="AJ51" s="607"/>
      <c r="AK51" s="607"/>
      <c r="AL51" s="331"/>
      <c r="AM51" s="2262"/>
      <c r="AO51" s="1631"/>
      <c r="AP51" s="1631" t="str">
        <f>IF(T51="","",T51)</f>
        <v>Добавить вид теплоносителя (параметры теплоносителя)</v>
      </c>
      <c r="AQ51" s="1631"/>
      <c r="AR51" s="1631"/>
      <c r="AS51" s="1638">
        <v>11</v>
      </c>
    </row>
    <row customHeight="1" ht="11.549999999999999">
      <c r="A52" s="1274" t="s">
        <v>296</v>
      </c>
      <c r="B52" s="1274" t="s">
        <v>297</v>
      </c>
      <c r="C52" s="1274" t="s">
        <v>298</v>
      </c>
      <c r="D52" s="1274" t="s">
        <v>299</v>
      </c>
      <c r="E52" s="2297"/>
      <c r="F52" s="2297"/>
      <c r="G52" s="2297"/>
      <c r="H52" s="2297"/>
      <c r="I52" s="2134"/>
      <c r="J52" s="1274"/>
      <c r="K52" s="1274"/>
      <c r="L52" s="1317"/>
      <c r="P52" s="2264"/>
      <c r="Q52" s="1961"/>
      <c r="R52" s="363"/>
      <c r="S52" s="1285"/>
      <c r="T52" s="294" t="s">
        <v>575</v>
      </c>
      <c r="U52" s="607"/>
      <c r="V52" s="607"/>
      <c r="W52" s="607"/>
      <c r="X52" s="607"/>
      <c r="Y52" s="607"/>
      <c r="Z52" s="607"/>
      <c r="AA52" s="607"/>
      <c r="AB52" s="607"/>
      <c r="AC52" s="373"/>
      <c r="AD52" s="607"/>
      <c r="AE52" s="607"/>
      <c r="AF52" s="607"/>
      <c r="AG52" s="607"/>
      <c r="AH52" s="607"/>
      <c r="AI52" s="607"/>
      <c r="AJ52" s="607"/>
      <c r="AK52" s="373"/>
      <c r="AL52" s="607"/>
      <c r="AM52" s="310"/>
      <c r="AO52" s="1631"/>
      <c r="AP52" s="1631" t="str">
        <f>IF(T52="","",T52)</f>
        <v>Добавить группу потребителей</v>
      </c>
      <c r="AQ52" s="1631"/>
      <c r="AR52" s="1631"/>
      <c r="AS52" s="1638">
        <v>11</v>
      </c>
    </row>
    <row customHeight="1" ht="14.699999999999998">
      <c r="A53" s="1274" t="s">
        <v>296</v>
      </c>
      <c r="B53" s="1274" t="s">
        <v>297</v>
      </c>
      <c r="C53" s="1274" t="s">
        <v>298</v>
      </c>
      <c r="D53" s="1274" t="s">
        <v>299</v>
      </c>
      <c r="E53" s="2297"/>
      <c r="F53" s="2297"/>
      <c r="G53" s="2297"/>
      <c r="H53" s="2296"/>
      <c r="I53" s="1274"/>
      <c r="J53" s="1274"/>
      <c r="K53" s="1274"/>
      <c r="L53" s="1317"/>
      <c r="M53" s="1617"/>
      <c r="N53" s="1617"/>
      <c r="O53" s="1642"/>
      <c r="P53" s="367"/>
      <c r="Q53" s="382"/>
      <c r="R53" s="362"/>
      <c r="S53" s="1285"/>
      <c r="T53" s="372" t="s">
        <v>576</v>
      </c>
      <c r="U53" s="607"/>
      <c r="V53" s="607"/>
      <c r="W53" s="607"/>
      <c r="X53" s="607"/>
      <c r="Y53" s="607"/>
      <c r="Z53" s="607"/>
      <c r="AA53" s="607"/>
      <c r="AB53" s="607"/>
      <c r="AC53" s="373"/>
      <c r="AD53" s="607"/>
      <c r="AE53" s="607"/>
      <c r="AF53" s="607"/>
      <c r="AG53" s="607"/>
      <c r="AH53" s="607"/>
      <c r="AI53" s="607"/>
      <c r="AJ53" s="607"/>
      <c r="AK53" s="373"/>
      <c r="AL53" s="607"/>
      <c r="AM53" s="310"/>
      <c r="AO53" s="1631"/>
      <c r="AP53" s="1631" t="str">
        <f>IF(T53="","",T53)</f>
        <v>Добавить схему подключения</v>
      </c>
      <c r="AQ53" s="1631"/>
      <c r="AR53" s="1631"/>
      <c r="AS53" s="1638">
        <v>14</v>
      </c>
    </row>
    <row s="1649" customFormat="1" customHeight="1" ht="4.2">
      <c r="A54" s="1382" t="s">
        <v>296</v>
      </c>
      <c r="B54" s="1382" t="s">
        <v>297</v>
      </c>
      <c r="C54" s="1382" t="s">
        <v>298</v>
      </c>
      <c r="D54" s="1381"/>
      <c r="E54" s="2297"/>
      <c r="F54" s="2297"/>
      <c r="G54" s="2296"/>
      <c r="H54" s="1381"/>
      <c r="I54" s="1381"/>
      <c r="J54" s="1381"/>
      <c r="K54" s="1381"/>
      <c r="L54" s="1384"/>
      <c r="M54" s="1385"/>
      <c r="N54" s="1385"/>
      <c r="O54" s="358"/>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1258"/>
      <c r="AP54" s="1258" t="str">
        <f>IF(T54="","",T54)</f>
        <v>Добавить источник для дифференциации</v>
      </c>
      <c r="AQ54" s="1258"/>
      <c r="AR54" s="1258"/>
      <c r="AS54" s="1649">
        <v>4</v>
      </c>
    </row>
    <row s="1649" customFormat="1" customHeight="1" ht="4.2">
      <c r="A55" s="1382" t="s">
        <v>296</v>
      </c>
      <c r="B55" s="1382" t="s">
        <v>297</v>
      </c>
      <c r="C55" s="1381"/>
      <c r="D55" s="1381"/>
      <c r="E55" s="2297"/>
      <c r="F55" s="2296"/>
      <c r="G55" s="1381"/>
      <c r="H55" s="1381"/>
      <c r="I55" s="1381"/>
      <c r="J55" s="1381"/>
      <c r="K55" s="1381"/>
      <c r="L55" s="1384"/>
      <c r="M55" s="1386"/>
      <c r="N55" s="1386"/>
      <c r="O55" s="35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1258"/>
      <c r="AP55" s="1258" t="str">
        <f>IF(T55="","",T55)</f>
        <v>Добавить централизованную систему для дифференциации</v>
      </c>
      <c r="AQ55" s="1258"/>
      <c r="AR55" s="1258"/>
      <c r="AS55" s="1649">
        <v>4</v>
      </c>
    </row>
    <row s="1649" customFormat="1" customHeight="1" ht="4.2">
      <c r="A56" s="1382" t="s">
        <v>296</v>
      </c>
      <c r="B56" s="1382"/>
      <c r="C56" s="1382"/>
      <c r="D56" s="1382"/>
      <c r="E56" s="2296"/>
      <c r="F56" s="1382"/>
      <c r="G56" s="1382"/>
      <c r="H56" s="1382"/>
      <c r="I56" s="1382"/>
      <c r="J56" s="1382"/>
      <c r="K56" s="1382"/>
      <c r="L56" s="1388"/>
      <c r="M56" s="1386"/>
      <c r="N56" s="1386"/>
      <c r="O56" s="358"/>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1631"/>
      <c r="AP56" s="1631" t="str">
        <f>IF(T56="","",T56)</f>
        <v>Добавить территорию для дифференциации</v>
      </c>
      <c r="AQ56" s="1631"/>
      <c r="AR56" s="1631"/>
      <c r="AS56" s="1643">
        <v>4</v>
      </c>
    </row>
    <row s="1649" customFormat="1" customHeight="1" ht="4.2">
      <c r="A57" s="1381"/>
      <c r="B57" s="1381"/>
      <c r="C57" s="1381"/>
      <c r="D57" s="1381"/>
      <c r="E57" s="1382"/>
      <c r="F57" s="1381"/>
      <c r="G57" s="1381"/>
      <c r="H57" s="1381"/>
      <c r="I57" s="1381"/>
      <c r="J57" s="1381"/>
      <c r="K57" s="1381"/>
      <c r="L57" s="1384"/>
      <c r="M57" s="1386"/>
      <c r="N57" s="1386"/>
      <c r="O57" s="35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1258"/>
      <c r="AP57" s="1258" t="str">
        <f>IF(T57="","",T57)</f>
        <v>Добавить наименование тарифа</v>
      </c>
      <c r="AQ57" s="1258"/>
      <c r="AR57" s="1258"/>
      <c r="AS57" s="1649">
        <v>4</v>
      </c>
    </row>
    <row customHeight="1" ht="11.549999999999999">
      <c r="M58" s="1638"/>
      <c r="N58" s="1638"/>
      <c r="O58" s="1642"/>
      <c r="P58" s="1638"/>
      <c r="Q58" s="1638"/>
      <c r="R58" s="1638"/>
      <c r="S58" s="1638"/>
      <c r="AN58" s="1638"/>
      <c r="AO58" s="1638"/>
      <c r="AP58" s="1638"/>
      <c r="AQ58" s="1638"/>
      <c r="AR58" s="1638"/>
      <c r="AS58" s="1638">
        <v>11</v>
      </c>
    </row>
    <row customHeight="1" ht="28.5">
      <c r="O59" s="1642"/>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638">
        <v>27</v>
      </c>
    </row>
    <row customHeight="1" ht="65.25">
      <c r="O60" s="1642"/>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638">
        <v>62</v>
      </c>
    </row>
    <row customHeight="1" ht="14.699999999999998">
      <c r="O61" s="1642"/>
      <c r="AS61" s="1638">
        <v>14</v>
      </c>
    </row>
    <row customHeight="1" ht="18.75">
      <c r="O62" s="1642"/>
      <c r="S62" s="1260"/>
      <c r="T62" s="2292"/>
      <c r="U62" s="2292"/>
      <c r="V62" s="2292"/>
      <c r="W62" s="2292"/>
      <c r="X62" s="2292"/>
      <c r="Y62" s="2292"/>
      <c r="Z62" s="2292"/>
      <c r="AA62" s="2292"/>
      <c r="AB62" s="2292"/>
      <c r="AC62" s="2292"/>
      <c r="AD62" s="2292"/>
      <c r="AE62" s="2292"/>
      <c r="AF62" s="2292"/>
      <c r="AG62" s="2292"/>
      <c r="AH62" s="2292"/>
      <c r="AI62" s="2292"/>
      <c r="AJ62" s="2292"/>
      <c r="AK62" s="2292"/>
      <c r="AL62" s="2292"/>
      <c r="AM62" s="2292"/>
      <c r="AS62" s="1638">
        <v>18</v>
      </c>
    </row>
    <row customHeight="1" ht="18.75">
      <c r="O63" s="1642"/>
      <c r="T63" s="2292"/>
      <c r="U63" s="2292"/>
      <c r="V63" s="2292"/>
      <c r="W63" s="2292"/>
      <c r="X63" s="2292"/>
      <c r="Y63" s="2292"/>
      <c r="Z63" s="2292"/>
      <c r="AA63" s="2292"/>
      <c r="AB63" s="2292"/>
      <c r="AC63" s="2292"/>
      <c r="AD63" s="2292"/>
      <c r="AE63" s="2292"/>
      <c r="AF63" s="2292"/>
      <c r="AG63" s="2292"/>
      <c r="AH63" s="2292"/>
      <c r="AI63" s="2292"/>
      <c r="AJ63" s="2292"/>
      <c r="AK63" s="2292"/>
      <c r="AL63" s="2292"/>
      <c r="AM63" s="2292"/>
      <c r="AS63" s="1638">
        <v>18</v>
      </c>
    </row>
    <row customHeight="1" ht="29.25">
      <c r="O64" s="1642"/>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638">
        <v>28</v>
      </c>
    </row>
    <row customHeight="1" ht="22.5" hidden="1">
      <c r="A65" s="1638" t="s">
        <v>82</v>
      </c>
      <c r="B65" s="1638">
        <v>0</v>
      </c>
      <c r="C65" s="1638">
        <v>0</v>
      </c>
      <c r="D65" s="1638">
        <v>0</v>
      </c>
      <c r="E65" s="1638">
        <v>0</v>
      </c>
      <c r="F65" s="1638">
        <v>0</v>
      </c>
      <c r="G65" s="1638">
        <v>0</v>
      </c>
      <c r="H65" s="1638">
        <v>0</v>
      </c>
      <c r="I65" s="1638">
        <v>0</v>
      </c>
      <c r="J65" s="1638">
        <v>0</v>
      </c>
      <c r="K65" s="1638">
        <v>0</v>
      </c>
      <c r="L65" s="1946">
        <v>0</v>
      </c>
      <c r="M65" s="1972">
        <v>0</v>
      </c>
      <c r="N65" s="1972">
        <v>0</v>
      </c>
      <c r="O65" s="1972">
        <v>0</v>
      </c>
      <c r="P65" s="1972">
        <v>3</v>
      </c>
      <c r="Q65" s="351">
        <v>3</v>
      </c>
      <c r="R65" s="351">
        <v>3</v>
      </c>
      <c r="S65" s="588">
        <v>12</v>
      </c>
      <c r="T65" s="1638">
        <v>31</v>
      </c>
      <c r="U65" s="1638">
        <v>0</v>
      </c>
      <c r="V65" s="1638">
        <v>0</v>
      </c>
      <c r="W65" s="1638">
        <v>0</v>
      </c>
      <c r="X65" s="1638">
        <v>0</v>
      </c>
      <c r="Y65" s="1638">
        <v>0</v>
      </c>
      <c r="Z65" s="1638">
        <v>0</v>
      </c>
      <c r="AA65" s="1638">
        <v>0</v>
      </c>
      <c r="AB65" s="1638">
        <v>0</v>
      </c>
      <c r="AC65" s="1638">
        <v>0</v>
      </c>
      <c r="AD65" s="1638">
        <v>24</v>
      </c>
      <c r="AE65" s="1638">
        <v>0</v>
      </c>
      <c r="AF65" s="1638">
        <v>24</v>
      </c>
      <c r="AG65" s="1638">
        <v>24</v>
      </c>
      <c r="AH65" s="1638">
        <v>11</v>
      </c>
      <c r="AI65" s="1638">
        <v>3</v>
      </c>
      <c r="AJ65" s="1638">
        <v>11</v>
      </c>
      <c r="AK65" s="1638">
        <v>0</v>
      </c>
      <c r="AL65" s="1638">
        <v>4</v>
      </c>
      <c r="AM65" s="1638">
        <v>115</v>
      </c>
      <c r="AN65" s="1643">
        <v>10</v>
      </c>
      <c r="AO65" s="1643">
        <v>10</v>
      </c>
      <c r="AP65" s="1643">
        <v>10</v>
      </c>
      <c r="AQ65" s="1643">
        <v>10</v>
      </c>
      <c r="AR65" s="1643">
        <v>10</v>
      </c>
      <c r="AS65" s="1638">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11DF8E-6A1E-EBA2-45DB-465ACFC6BB9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42" width="10.57421875" hidden="1"/>
    <col min="2" max="2" style="1642" width="11.00390625" hidden="1" customWidth="1"/>
    <col min="3" max="3" style="1642" width="10.57421875" hidden="1"/>
    <col min="4" max="4" style="1642" width="11.8515625" hidden="1" customWidth="1"/>
    <col min="5" max="5" style="1642" width="10.00390625" hidden="1" customWidth="1"/>
    <col min="6" max="6" style="1642" width="8.7109375" hidden="1" customWidth="1"/>
    <col min="7" max="7" style="1642" width="7.57421875" hidden="1" customWidth="1"/>
    <col min="8" max="8" style="1642" width="11.421875" hidden="1" customWidth="1"/>
    <col min="9" max="9" style="1642" width="12.00390625" hidden="1" customWidth="1"/>
    <col min="10" max="10" style="1642" width="9.8515625" hidden="1" customWidth="1"/>
    <col min="11" max="11" style="1642" width="11.421875" hidden="1" customWidth="1"/>
    <col min="12" max="12" style="2132" width="19.140625" hidden="1" customWidth="1"/>
    <col min="13" max="14" style="2404" width="12.28125" hidden="1" customWidth="1"/>
    <col min="15" max="15" style="2404" width="23.421875" hidden="1" customWidth="1"/>
    <col min="16" max="16" style="2404" width="3.00390625"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AS1" s="1638" t="s">
        <v>14</v>
      </c>
    </row>
    <row customHeight="1" ht="21" hidden="1">
      <c r="A2" s="1274"/>
      <c r="B2" s="1274"/>
      <c r="C2" s="1274"/>
      <c r="D2" s="1274"/>
      <c r="E2" s="2296">
        <v>1</v>
      </c>
      <c r="F2" s="1274"/>
      <c r="G2" s="1274"/>
      <c r="H2" s="1274"/>
      <c r="I2" s="1274"/>
      <c r="J2" s="1274"/>
      <c r="K2" s="1274"/>
      <c r="L2" s="1317"/>
      <c r="M2" s="1617"/>
      <c r="N2" s="1617"/>
      <c r="O2" s="1617"/>
      <c r="P2" s="1597"/>
      <c r="Q2" s="367"/>
      <c r="R2" s="362"/>
      <c r="S2" s="1965">
        <f>INDEX(PT_DIFFERENTIATION_NUM_NTAR,MATCH(A2,PT_DIFFERENTIATION_NTAR_ID,0))</f>
      </c>
      <c r="T2" s="1532"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1631"/>
      <c r="AP2" s="1631" t="str">
        <f>IF(T2="","",T2)</f>
        <v>Наименование тарифа</v>
      </c>
      <c r="AQ2" s="1631"/>
      <c r="AR2" s="1631"/>
      <c r="AS2" s="1638">
        <v>0</v>
      </c>
    </row>
    <row customHeight="1" ht="21" hidden="1">
      <c r="A3" s="1274"/>
      <c r="B3" s="1274"/>
      <c r="C3" s="1274"/>
      <c r="D3" s="1274"/>
      <c r="E3" s="2297"/>
      <c r="F3" s="2296">
        <v>1</v>
      </c>
      <c r="G3" s="1274"/>
      <c r="H3" s="1274"/>
      <c r="I3" s="1274"/>
      <c r="J3" s="1274"/>
      <c r="K3" s="1274"/>
      <c r="L3" s="1317"/>
      <c r="M3" s="1617"/>
      <c r="N3" s="1617"/>
      <c r="O3" s="1617"/>
      <c r="P3" s="1947"/>
      <c r="Q3" s="359"/>
      <c r="R3" s="360"/>
      <c r="S3" s="1965">
        <f>INDEX(PT_DIFFERENTIATION_NUM_TER,MATCH(B3,PT_DIFFERENTIATION_TER_ID,0))</f>
      </c>
      <c r="T3" s="1529"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1631"/>
      <c r="AP3" s="1631" t="str">
        <f>IF(T3="","",T3)</f>
        <v>Территория действия тарифа</v>
      </c>
      <c r="AQ3" s="1631"/>
      <c r="AR3" s="1631"/>
      <c r="AS3" s="1638">
        <v>0</v>
      </c>
    </row>
    <row customHeight="1" ht="23.25" hidden="1">
      <c r="A4" s="1274"/>
      <c r="B4" s="1274"/>
      <c r="C4" s="1274"/>
      <c r="D4" s="1274"/>
      <c r="E4" s="2297"/>
      <c r="F4" s="2297"/>
      <c r="G4" s="2296">
        <v>1</v>
      </c>
      <c r="H4" s="1274"/>
      <c r="I4" s="1274"/>
      <c r="J4" s="1274"/>
      <c r="K4" s="1274"/>
      <c r="L4" s="1317"/>
      <c r="M4" s="1617"/>
      <c r="N4" s="1617"/>
      <c r="O4" s="1617"/>
      <c r="P4" s="361"/>
      <c r="Q4" s="359"/>
      <c r="R4" s="360"/>
      <c r="S4" s="1965">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1631"/>
      <c r="AP4" s="1631" t="str">
        <f>IF(T4="","",T4)</f>
        <v>Наименование системы теплоснабжения </v>
      </c>
      <c r="AQ4" s="1631"/>
      <c r="AR4" s="1631"/>
      <c r="AS4" s="1638">
        <v>0</v>
      </c>
    </row>
    <row customHeight="1" ht="21" hidden="1">
      <c r="A5" s="1274"/>
      <c r="B5" s="1274"/>
      <c r="C5" s="1274"/>
      <c r="D5" s="1274"/>
      <c r="E5" s="2297"/>
      <c r="F5" s="2297"/>
      <c r="G5" s="2297"/>
      <c r="H5" s="2296">
        <v>1</v>
      </c>
      <c r="I5" s="1274"/>
      <c r="J5" s="1274"/>
      <c r="K5" s="1274"/>
      <c r="L5" s="1317"/>
      <c r="M5" s="1617"/>
      <c r="N5" s="1617"/>
      <c r="O5" s="1617"/>
      <c r="P5" s="361"/>
      <c r="Q5" s="359"/>
      <c r="R5" s="360"/>
      <c r="S5" s="1965">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1631"/>
      <c r="AP5" s="1631" t="str">
        <f>IF(T5="","",T5)</f>
        <v>Источник тепловой энергии  </v>
      </c>
      <c r="AQ5" s="1631"/>
      <c r="AR5" s="1631"/>
      <c r="AS5" s="1638">
        <v>0</v>
      </c>
    </row>
    <row customHeight="1" ht="47.25" hidden="1">
      <c r="A6" s="1274"/>
      <c r="B6" s="1274"/>
      <c r="C6" s="1274"/>
      <c r="D6" s="1274"/>
      <c r="E6" s="2297"/>
      <c r="F6" s="2297"/>
      <c r="G6" s="2297"/>
      <c r="H6" s="2297"/>
      <c r="I6" s="2134">
        <f>S5&amp;".1"</f>
      </c>
      <c r="J6" s="1274"/>
      <c r="K6" s="1274"/>
      <c r="L6" s="1317" t="s">
        <v>566</v>
      </c>
      <c r="M6" s="1642"/>
      <c r="P6" s="2264">
        <v>1</v>
      </c>
      <c r="Q6" s="1961"/>
      <c r="R6" s="363"/>
      <c r="S6" s="1965">
        <f>$I6</f>
      </c>
      <c r="T6" s="292" t="s">
        <v>567</v>
      </c>
      <c r="U6" s="307"/>
      <c r="V6" s="2252"/>
      <c r="W6" s="2253"/>
      <c r="X6" s="2253"/>
      <c r="Y6" s="2253"/>
      <c r="Z6" s="2253"/>
      <c r="AA6" s="2253"/>
      <c r="AB6" s="2253"/>
      <c r="AC6" s="2254"/>
      <c r="AD6" s="2252"/>
      <c r="AE6" s="2253"/>
      <c r="AF6" s="2253"/>
      <c r="AG6" s="2253"/>
      <c r="AH6" s="2253"/>
      <c r="AI6" s="2253"/>
      <c r="AJ6" s="2253"/>
      <c r="AK6" s="2253"/>
      <c r="AL6" s="2254"/>
      <c r="AM6" s="1265" t="s">
        <v>568</v>
      </c>
      <c r="AO6" s="1631"/>
      <c r="AP6" s="1631" t="str">
        <f>IF(T6="","",T6)</f>
        <v>Схема подключения теплопотребляющей установки к коллектору источника тепловой энергии</v>
      </c>
      <c r="AQ6" s="1631"/>
      <c r="AR6" s="1631"/>
      <c r="AS6" s="1638">
        <v>0</v>
      </c>
    </row>
    <row customHeight="1" ht="21" hidden="1">
      <c r="A7" s="1274"/>
      <c r="B7" s="1274"/>
      <c r="C7" s="1274"/>
      <c r="D7" s="1274"/>
      <c r="E7" s="2297"/>
      <c r="F7" s="2297"/>
      <c r="G7" s="2297"/>
      <c r="H7" s="2297"/>
      <c r="I7" s="2108"/>
      <c r="J7" s="2134">
        <f>I6&amp;".1"</f>
      </c>
      <c r="K7" s="1274"/>
      <c r="L7" s="1317" t="s">
        <v>569</v>
      </c>
      <c r="M7" s="1642"/>
      <c r="N7" s="1638"/>
      <c r="P7" s="2264"/>
      <c r="Q7" s="2264">
        <v>1</v>
      </c>
      <c r="R7" s="364"/>
      <c r="S7" s="1965">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1631"/>
      <c r="AP7" s="1631" t="str">
        <f>IF(T7="","",T7)</f>
        <v>Группа потребителей</v>
      </c>
      <c r="AQ7" s="1631"/>
      <c r="AR7" s="1631"/>
      <c r="AS7" s="1638">
        <v>0</v>
      </c>
    </row>
    <row customHeight="1" ht="21" hidden="1">
      <c r="A8" s="1274"/>
      <c r="B8" s="1274"/>
      <c r="C8" s="1274"/>
      <c r="D8" s="1274"/>
      <c r="E8" s="2297"/>
      <c r="F8" s="2297"/>
      <c r="G8" s="2297"/>
      <c r="H8" s="2297"/>
      <c r="I8" s="2108"/>
      <c r="J8" s="2108"/>
      <c r="K8" s="2134">
        <f>J7&amp;".1"</f>
      </c>
      <c r="L8" s="1317" t="s">
        <v>572</v>
      </c>
      <c r="M8" s="1642"/>
      <c r="N8" s="1638"/>
      <c r="O8" s="1638"/>
      <c r="P8" s="2264"/>
      <c r="Q8" s="2264"/>
      <c r="R8" s="364">
        <v>1</v>
      </c>
      <c r="S8" s="1965">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1643">
        <f>STRCHECKDATE(V9:AL9)</f>
      </c>
      <c r="AO8" s="1631"/>
      <c r="AP8" s="1631" t="str">
        <f>IF(T8="","",T8)</f>
        <v/>
      </c>
      <c r="AQ8" s="1631"/>
      <c r="AR8" s="1631"/>
      <c r="AS8" s="1638">
        <v>0</v>
      </c>
    </row>
    <row customHeight="1" ht="0.75" hidden="1">
      <c r="A9" s="1274"/>
      <c r="B9" s="1274"/>
      <c r="C9" s="1274"/>
      <c r="D9" s="1274"/>
      <c r="E9" s="2297"/>
      <c r="F9" s="2297"/>
      <c r="G9" s="2297"/>
      <c r="H9" s="2297"/>
      <c r="I9" s="2108"/>
      <c r="J9" s="2108"/>
      <c r="K9" s="2134"/>
      <c r="L9" s="1317"/>
      <c r="M9" s="1642"/>
      <c r="N9" s="1638"/>
      <c r="O9" s="1638"/>
      <c r="P9" s="2264"/>
      <c r="Q9" s="2264"/>
      <c r="R9" s="364"/>
      <c r="S9" s="1974"/>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1631"/>
      <c r="AP9" s="1631" t="str">
        <f>IF(T9="","",T9)</f>
        <v/>
      </c>
      <c r="AQ9" s="1631"/>
      <c r="AR9" s="1631"/>
      <c r="AS9" s="1638">
        <v>0</v>
      </c>
    </row>
    <row customHeight="1" ht="15" hidden="1">
      <c r="A10" s="1274"/>
      <c r="B10" s="1274"/>
      <c r="C10" s="1274"/>
      <c r="D10" s="1274"/>
      <c r="E10" s="2297"/>
      <c r="F10" s="2297"/>
      <c r="G10" s="2297"/>
      <c r="H10" s="2297"/>
      <c r="I10" s="2108"/>
      <c r="J10" s="2134"/>
      <c r="K10" s="1274"/>
      <c r="L10" s="1317"/>
      <c r="M10" s="1642"/>
      <c r="N10" s="1638"/>
      <c r="P10" s="2264"/>
      <c r="Q10" s="2264"/>
      <c r="R10" s="363"/>
      <c r="S10" s="1285"/>
      <c r="T10" s="295" t="s">
        <v>574</v>
      </c>
      <c r="U10" s="607"/>
      <c r="V10" s="607"/>
      <c r="W10" s="607"/>
      <c r="X10" s="607"/>
      <c r="Y10" s="607"/>
      <c r="Z10" s="607"/>
      <c r="AA10" s="607"/>
      <c r="AB10" s="607"/>
      <c r="AC10" s="607"/>
      <c r="AD10" s="607"/>
      <c r="AE10" s="607"/>
      <c r="AF10" s="607"/>
      <c r="AG10" s="607"/>
      <c r="AH10" s="607"/>
      <c r="AI10" s="607"/>
      <c r="AJ10" s="607"/>
      <c r="AK10" s="607"/>
      <c r="AL10" s="331"/>
      <c r="AM10" s="2262"/>
      <c r="AO10" s="1631"/>
      <c r="AP10" s="1631" t="str">
        <f>IF(T10="","",T10)</f>
        <v>Добавить вид теплоносителя (параметры теплоносителя)</v>
      </c>
      <c r="AQ10" s="1631"/>
      <c r="AR10" s="1631"/>
      <c r="AS10" s="1638">
        <v>0</v>
      </c>
    </row>
    <row customHeight="1" ht="15" hidden="1">
      <c r="A11" s="1274"/>
      <c r="B11" s="1274"/>
      <c r="C11" s="1274"/>
      <c r="D11" s="1274"/>
      <c r="E11" s="2297"/>
      <c r="F11" s="2297"/>
      <c r="G11" s="2297"/>
      <c r="H11" s="2297"/>
      <c r="I11" s="2134"/>
      <c r="J11" s="1274"/>
      <c r="K11" s="1274"/>
      <c r="L11" s="1317"/>
      <c r="M11" s="1642"/>
      <c r="P11" s="2264"/>
      <c r="Q11" s="1961"/>
      <c r="R11" s="363"/>
      <c r="S11" s="1285"/>
      <c r="T11" s="294" t="s">
        <v>575</v>
      </c>
      <c r="U11" s="607"/>
      <c r="V11" s="607"/>
      <c r="W11" s="607"/>
      <c r="X11" s="607"/>
      <c r="Y11" s="607"/>
      <c r="Z11" s="607"/>
      <c r="AA11" s="607"/>
      <c r="AB11" s="607"/>
      <c r="AC11" s="373"/>
      <c r="AD11" s="607"/>
      <c r="AE11" s="607"/>
      <c r="AF11" s="607"/>
      <c r="AG11" s="607"/>
      <c r="AH11" s="607"/>
      <c r="AI11" s="607"/>
      <c r="AJ11" s="607"/>
      <c r="AK11" s="373"/>
      <c r="AL11" s="607"/>
      <c r="AM11" s="310"/>
      <c r="AO11" s="1631"/>
      <c r="AP11" s="1631" t="str">
        <f>IF(T11="","",T11)</f>
        <v>Добавить группу потребителей</v>
      </c>
      <c r="AQ11" s="1631"/>
      <c r="AR11" s="1631"/>
      <c r="AS11" s="1638">
        <v>0</v>
      </c>
    </row>
    <row customHeight="1" ht="14.25" hidden="1">
      <c r="A12" s="1274"/>
      <c r="B12" s="1274"/>
      <c r="C12" s="1274"/>
      <c r="D12" s="1274"/>
      <c r="E12" s="2297"/>
      <c r="F12" s="2297"/>
      <c r="G12" s="2297"/>
      <c r="H12" s="2296"/>
      <c r="I12" s="1274"/>
      <c r="J12" s="1274"/>
      <c r="K12" s="1274"/>
      <c r="L12" s="1317"/>
      <c r="M12" s="1617"/>
      <c r="N12" s="1617"/>
      <c r="O12" s="1642"/>
      <c r="P12" s="367"/>
      <c r="Q12" s="382"/>
      <c r="R12" s="362"/>
      <c r="S12" s="1285"/>
      <c r="T12" s="372" t="s">
        <v>576</v>
      </c>
      <c r="U12" s="607"/>
      <c r="V12" s="607"/>
      <c r="W12" s="607"/>
      <c r="X12" s="607"/>
      <c r="Y12" s="607"/>
      <c r="Z12" s="607"/>
      <c r="AA12" s="607"/>
      <c r="AB12" s="607"/>
      <c r="AC12" s="373"/>
      <c r="AD12" s="607"/>
      <c r="AE12" s="607"/>
      <c r="AF12" s="607"/>
      <c r="AG12" s="607"/>
      <c r="AH12" s="607"/>
      <c r="AI12" s="607"/>
      <c r="AJ12" s="607"/>
      <c r="AK12" s="373"/>
      <c r="AL12" s="607"/>
      <c r="AM12" s="310"/>
      <c r="AO12" s="1631"/>
      <c r="AP12" s="1631" t="str">
        <f>IF(T12="","",T12)</f>
        <v>Добавить схему подключения</v>
      </c>
      <c r="AQ12" s="1631"/>
      <c r="AR12" s="1631"/>
      <c r="AS12" s="1638">
        <v>0</v>
      </c>
    </row>
    <row s="1649" customFormat="1" customHeight="1" ht="0.75" hidden="1">
      <c r="A13" s="1981"/>
      <c r="B13" s="1981"/>
      <c r="C13" s="1981"/>
      <c r="D13" s="1981"/>
      <c r="E13" s="2297"/>
      <c r="F13" s="2297"/>
      <c r="G13" s="2296"/>
      <c r="H13" s="1981"/>
      <c r="I13" s="1981"/>
      <c r="J13" s="1981"/>
      <c r="K13" s="1981"/>
      <c r="L13" s="1387"/>
      <c r="M13" s="1617"/>
      <c r="N13" s="1617"/>
      <c r="O13" s="164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1258"/>
      <c r="AP13" s="1258" t="str">
        <f>IF(T13="","",T13)</f>
        <v>Добавить источник для дифференциации</v>
      </c>
      <c r="AQ13" s="1258"/>
      <c r="AR13" s="1258"/>
      <c r="AS13" s="1649">
        <v>0</v>
      </c>
    </row>
    <row s="1649" customFormat="1" customHeight="1" ht="0.75" hidden="1">
      <c r="A14" s="1981"/>
      <c r="B14" s="1981"/>
      <c r="C14" s="1981"/>
      <c r="D14" s="1981"/>
      <c r="E14" s="2297"/>
      <c r="F14" s="2296"/>
      <c r="G14" s="1981"/>
      <c r="H14" s="1981"/>
      <c r="I14" s="1981"/>
      <c r="J14" s="1981"/>
      <c r="K14" s="1981"/>
      <c r="L14" s="1387"/>
      <c r="M14" s="1982"/>
      <c r="N14" s="1982"/>
      <c r="O14" s="1642"/>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1258"/>
      <c r="AP14" s="1258" t="str">
        <f>IF(T14="","",T14)</f>
        <v>Добавить централизованную систему для дифференциации</v>
      </c>
      <c r="AQ14" s="1258"/>
      <c r="AR14" s="1258"/>
      <c r="AS14" s="1649">
        <v>0</v>
      </c>
    </row>
    <row s="1649" customFormat="1" customHeight="1" ht="0.75" hidden="1">
      <c r="A15" s="1981"/>
      <c r="B15" s="1981"/>
      <c r="C15" s="1981"/>
      <c r="D15" s="1981"/>
      <c r="E15" s="2296"/>
      <c r="F15" s="1981"/>
      <c r="G15" s="1981"/>
      <c r="H15" s="1981"/>
      <c r="I15" s="1981"/>
      <c r="J15" s="1981"/>
      <c r="K15" s="1981"/>
      <c r="L15" s="1387"/>
      <c r="M15" s="1982"/>
      <c r="N15" s="1982"/>
      <c r="O15" s="1642"/>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1258"/>
      <c r="AP15" s="1258" t="str">
        <f>IF(T15="","",T15)</f>
        <v>Добавить территорию для дифференциации</v>
      </c>
      <c r="AQ15" s="1258"/>
      <c r="AR15" s="1258"/>
      <c r="AS15" s="1649">
        <v>0</v>
      </c>
    </row>
    <row customHeight="1" ht="14.25" hidden="1">
      <c r="AS16" s="1638">
        <v>0</v>
      </c>
    </row>
    <row customHeight="1" ht="14.25" hidden="1">
      <c r="AD17" s="1367"/>
      <c r="AE17" s="1367"/>
      <c r="AF17" s="1367"/>
      <c r="AG17" s="1368"/>
      <c r="AH17" s="2274"/>
      <c r="AI17" s="2275" t="s">
        <v>66</v>
      </c>
      <c r="AJ17" s="2274"/>
      <c r="AK17" s="2275" t="s">
        <v>66</v>
      </c>
      <c r="AS17" s="1638">
        <v>0</v>
      </c>
    </row>
    <row customHeight="1" ht="14.25" hidden="1">
      <c r="AD18" s="1367"/>
      <c r="AE18" s="1367"/>
      <c r="AF18" s="1367"/>
      <c r="AG18" s="335" t="str">
        <f>AH17&amp;"-"&amp;AJ17</f>
        <v>-</v>
      </c>
      <c r="AH18" s="2275"/>
      <c r="AI18" s="2275"/>
      <c r="AJ18" s="2275"/>
      <c r="AK18" s="2275"/>
      <c r="AS18" s="1638">
        <v>0</v>
      </c>
    </row>
    <row customHeight="1" ht="14.25" hidden="1">
      <c r="AS19" s="1638">
        <v>0</v>
      </c>
    </row>
    <row s="1373" customFormat="1" customHeight="1" ht="14.25" hidden="1">
      <c r="A20" s="1638"/>
      <c r="B20" s="1638"/>
      <c r="C20" s="1638"/>
      <c r="D20" s="1638"/>
      <c r="E20" s="1638"/>
      <c r="F20" s="1638"/>
      <c r="G20" s="1638"/>
      <c r="H20" s="1638"/>
      <c r="I20" s="1638"/>
      <c r="J20" s="1638"/>
      <c r="K20" s="1638"/>
      <c r="L20" s="1946"/>
      <c r="M20" s="1972"/>
      <c r="N20" s="1972"/>
      <c r="O20" s="1352" t="s">
        <v>578</v>
      </c>
      <c r="P20" s="1369"/>
      <c r="Q20" s="1378"/>
      <c r="R20" s="1378"/>
      <c r="S20" s="736"/>
      <c r="Z20" s="1374"/>
      <c r="AB20" s="1374"/>
      <c r="AH20" s="1374"/>
      <c r="AJ20" s="1374"/>
      <c r="AN20" s="1643"/>
      <c r="AO20" s="1643"/>
      <c r="AP20" s="1643"/>
      <c r="AQ20" s="1643"/>
      <c r="AR20" s="1643"/>
      <c r="AS20" s="1373">
        <v>0</v>
      </c>
    </row>
    <row s="1373" customFormat="1" customHeight="1" ht="14.25" hidden="1">
      <c r="A21" s="1638"/>
      <c r="B21" s="1638"/>
      <c r="C21" s="1638"/>
      <c r="D21" s="1638"/>
      <c r="E21" s="1638"/>
      <c r="F21" s="1638"/>
      <c r="G21" s="1638"/>
      <c r="H21" s="1638"/>
      <c r="I21" s="1638"/>
      <c r="J21" s="1638"/>
      <c r="K21" s="1638"/>
      <c r="L21" s="1946"/>
      <c r="M21" s="1972"/>
      <c r="N21" s="1972"/>
      <c r="O21" s="1972"/>
      <c r="P21" s="1369"/>
      <c r="Q21" s="1378"/>
      <c r="R21" s="1378"/>
      <c r="S21" s="736"/>
      <c r="AN21" s="1643"/>
      <c r="AO21" s="1643"/>
      <c r="AP21" s="1643"/>
      <c r="AQ21" s="1643"/>
      <c r="AR21" s="1643"/>
      <c r="AS21" s="1373">
        <v>0</v>
      </c>
    </row>
    <row s="1373" customFormat="1" customHeight="1" ht="14.25" hidden="1">
      <c r="A22" s="1638"/>
      <c r="B22" s="1638"/>
      <c r="C22" s="1638"/>
      <c r="D22" s="1638"/>
      <c r="E22" s="1638"/>
      <c r="F22" s="1638"/>
      <c r="G22" s="1638"/>
      <c r="H22" s="1638"/>
      <c r="I22" s="1638"/>
      <c r="J22" s="1638"/>
      <c r="K22" s="1638"/>
      <c r="L22" s="1946"/>
      <c r="M22" s="1972"/>
      <c r="N22" s="1972"/>
      <c r="O22" s="1317" t="s">
        <v>579</v>
      </c>
      <c r="P22" s="1369"/>
      <c r="Q22" s="1378"/>
      <c r="R22" s="1378"/>
      <c r="S22" s="736"/>
      <c r="T22" s="1373" t="s">
        <v>580</v>
      </c>
      <c r="AA22" s="602" t="s">
        <v>581</v>
      </c>
      <c r="AC22" s="602" t="s">
        <v>582</v>
      </c>
      <c r="AD22" s="1373" t="s">
        <v>580</v>
      </c>
      <c r="AI22" s="602" t="s">
        <v>583</v>
      </c>
      <c r="AK22" s="602" t="s">
        <v>582</v>
      </c>
      <c r="AN22" s="1643"/>
      <c r="AO22" s="1643"/>
      <c r="AP22" s="1643"/>
      <c r="AQ22" s="1643"/>
      <c r="AR22" s="1643"/>
      <c r="AS22" s="1373">
        <v>0</v>
      </c>
    </row>
    <row customHeight="1" ht="14.25" hidden="1">
      <c r="O23" s="1317"/>
      <c r="AS23" s="1638">
        <v>0</v>
      </c>
    </row>
    <row customHeight="1" ht="14.25" hidden="1">
      <c r="O24" s="1317"/>
      <c r="AS24" s="1638">
        <v>0</v>
      </c>
    </row>
    <row customHeight="1" ht="14.699999999999998">
      <c r="Q25" s="383"/>
      <c r="R25" s="383"/>
      <c r="S25" s="1282"/>
      <c r="T25" s="464"/>
      <c r="U25" s="464"/>
      <c r="V25" s="1642"/>
      <c r="W25" s="1642"/>
      <c r="X25" s="1642"/>
      <c r="Y25" s="1642"/>
      <c r="Z25" s="1642"/>
      <c r="AA25" s="1642"/>
      <c r="AB25" s="1642"/>
      <c r="AC25" s="1642"/>
      <c r="AD25" s="1642"/>
      <c r="AE25" s="1642"/>
      <c r="AF25" s="1642"/>
      <c r="AG25" s="1642"/>
      <c r="AH25" s="1642"/>
      <c r="AI25" s="1642"/>
      <c r="AJ25" s="1642"/>
      <c r="AK25" s="1642"/>
      <c r="AS25" s="1638">
        <v>14</v>
      </c>
    </row>
    <row customHeight="1" ht="14.699999999999998">
      <c r="Q26" s="383"/>
      <c r="R26" s="383"/>
      <c r="S26" s="225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5"/>
      <c r="U26" s="2255"/>
      <c r="V26" s="2255"/>
      <c r="W26" s="2255"/>
      <c r="X26" s="2255"/>
      <c r="Y26" s="2255"/>
      <c r="Z26" s="2255"/>
      <c r="AA26" s="2255"/>
      <c r="AB26" s="2255"/>
      <c r="AC26" s="2255"/>
      <c r="AD26" s="2255"/>
      <c r="AE26" s="2255"/>
      <c r="AF26" s="2255"/>
      <c r="AG26" s="2255"/>
      <c r="AH26" s="2255"/>
      <c r="AI26" s="2255"/>
      <c r="AJ26" s="2255"/>
      <c r="AK26" s="1250"/>
      <c r="AS26" s="1638">
        <v>14</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638">
        <v>14</v>
      </c>
    </row>
    <row customHeight="1" ht="14.25" hidden="1">
      <c r="Q28" s="383"/>
      <c r="R28" s="383"/>
      <c r="S28" s="1282"/>
      <c r="T28" s="464"/>
      <c r="U28" s="464"/>
      <c r="V28" s="329"/>
      <c r="W28" s="329"/>
      <c r="X28" s="329"/>
      <c r="Y28" s="329"/>
      <c r="Z28" s="329"/>
      <c r="AA28" s="329"/>
      <c r="AB28" s="329"/>
      <c r="AC28" s="329"/>
      <c r="AD28" s="329"/>
      <c r="AE28" s="329"/>
      <c r="AF28" s="329"/>
      <c r="AG28" s="329"/>
      <c r="AH28" s="329"/>
      <c r="AI28" s="329"/>
      <c r="AJ28" s="329"/>
      <c r="AK28" s="329"/>
      <c r="AL28" s="1642"/>
      <c r="AS28" s="1638">
        <v>0</v>
      </c>
    </row>
    <row s="1860" customFormat="1" customHeight="1" ht="25.5" hidden="1">
      <c r="A29" s="1255"/>
      <c r="B29" s="1255"/>
      <c r="C29" s="1255"/>
      <c r="D29" s="1255"/>
      <c r="E29" s="1255"/>
      <c r="F29" s="1255"/>
      <c r="G29" s="1255"/>
      <c r="H29" s="1255"/>
      <c r="I29" s="1255"/>
      <c r="J29" s="1255"/>
      <c r="K29" s="1255"/>
      <c r="L29" s="1387"/>
      <c r="M29" s="1255"/>
      <c r="N29" s="1255"/>
      <c r="O29" s="1255"/>
      <c r="S29" s="2257" t="s">
        <v>42</v>
      </c>
      <c r="T29" s="2257"/>
      <c r="U29" s="1379"/>
      <c r="V29" s="2258" t="str">
        <f>IF(TITLE_NAME_OR_PR_CHANGE="",IF(TITLE_NAME_OR_PR="","",TITLE_NAME_OR_PR),TITLE_NAME_OR_PR_CHANGE)</f>
        <v/>
      </c>
      <c r="W29" s="2258"/>
      <c r="X29" s="2258"/>
      <c r="Y29" s="2258"/>
      <c r="Z29" s="2258"/>
      <c r="AA29" s="2258"/>
      <c r="AB29" s="2258"/>
      <c r="AC29" s="1642"/>
      <c r="AD29" s="2258" t="str">
        <f>IF(TITLE_NAME_OR_PR_CHANGE="",IF(TITLE_NAME_OR_PR="","",TITLE_NAME_OR_PR),TITLE_NAME_OR_PR_CHANGE)</f>
        <v/>
      </c>
      <c r="AE29" s="2258"/>
      <c r="AF29" s="2258"/>
      <c r="AG29" s="2258"/>
      <c r="AH29" s="2258"/>
      <c r="AI29" s="2258"/>
      <c r="AJ29" s="2258"/>
      <c r="AK29" s="1642"/>
      <c r="AL29" s="1642"/>
      <c r="AM29" s="287"/>
      <c r="AN29" s="375"/>
      <c r="AO29" s="375"/>
      <c r="AP29" s="375"/>
      <c r="AQ29" s="375"/>
      <c r="AR29" s="375"/>
      <c r="AS29" s="425">
        <v>0</v>
      </c>
    </row>
    <row s="1860" customFormat="1" customHeight="1" ht="18.75" hidden="1">
      <c r="A30" s="1255"/>
      <c r="B30" s="1255"/>
      <c r="C30" s="1255"/>
      <c r="D30" s="1255"/>
      <c r="E30" s="1255"/>
      <c r="F30" s="1255"/>
      <c r="G30" s="1255"/>
      <c r="H30" s="1255"/>
      <c r="I30" s="1255"/>
      <c r="J30" s="1255"/>
      <c r="K30" s="1255"/>
      <c r="L30" s="1387"/>
      <c r="M30" s="1255"/>
      <c r="N30" s="1255"/>
      <c r="O30" s="1255"/>
      <c r="S30" s="2257" t="s">
        <v>584</v>
      </c>
      <c r="T30" s="2257"/>
      <c r="U30" s="1379"/>
      <c r="V30" s="2271" t="str">
        <f>IF(TITLE_DATE_PR_CHANGE="",IF(TITLE_DATE_PR="","",TITLE_DATE_PR),TITLE_DATE_PR_CHANGE)</f>
        <v>45432</v>
      </c>
      <c r="W30" s="2271"/>
      <c r="X30" s="2271"/>
      <c r="Y30" s="2271"/>
      <c r="Z30" s="2271"/>
      <c r="AA30" s="2271"/>
      <c r="AB30" s="2271"/>
      <c r="AC30" s="1642"/>
      <c r="AD30" s="2271" t="str">
        <f>IF(TITLE_DATE_PR_CHANGE="",IF(TITLE_DATE_PR="","",TITLE_DATE_PR),TITLE_DATE_PR_CHANGE)</f>
        <v>45432</v>
      </c>
      <c r="AE30" s="2271"/>
      <c r="AF30" s="2271"/>
      <c r="AG30" s="2271"/>
      <c r="AH30" s="2271"/>
      <c r="AI30" s="2271"/>
      <c r="AJ30" s="2271"/>
      <c r="AK30" s="1642"/>
      <c r="AL30" s="1642"/>
      <c r="AM30" s="287"/>
      <c r="AN30" s="375"/>
      <c r="AO30" s="375"/>
      <c r="AP30" s="375"/>
      <c r="AQ30" s="375"/>
      <c r="AR30" s="375"/>
      <c r="AS30" s="425">
        <v>0</v>
      </c>
    </row>
    <row s="1860" customFormat="1" customHeight="1" ht="18.75" hidden="1">
      <c r="A31" s="1255"/>
      <c r="B31" s="1255"/>
      <c r="C31" s="1255"/>
      <c r="D31" s="1255"/>
      <c r="E31" s="1255"/>
      <c r="F31" s="1255"/>
      <c r="G31" s="1255"/>
      <c r="H31" s="1255"/>
      <c r="I31" s="1255"/>
      <c r="J31" s="1255"/>
      <c r="K31" s="1255"/>
      <c r="L31" s="1387"/>
      <c r="M31" s="1255"/>
      <c r="N31" s="1255"/>
      <c r="O31" s="1255"/>
      <c r="S31" s="2257" t="s">
        <v>585</v>
      </c>
      <c r="T31" s="2257"/>
      <c r="U31" s="1379"/>
      <c r="V31" s="2258" t="str">
        <f>IF(TITLE_NUMBER_PR_CHANGE="",IF(TITLE_NUMBER_PR="","",TITLE_NUMBER_PR),TITLE_NUMBER_PR_CHANGE)</f>
        <v>29-12/1427</v>
      </c>
      <c r="W31" s="2258"/>
      <c r="X31" s="2258"/>
      <c r="Y31" s="2258"/>
      <c r="Z31" s="2258"/>
      <c r="AA31" s="2258"/>
      <c r="AB31" s="2258"/>
      <c r="AC31" s="1642"/>
      <c r="AD31" s="2258" t="str">
        <f>IF(TITLE_NUMBER_PR_CHANGE="",IF(TITLE_NUMBER_PR="","",TITLE_NUMBER_PR),TITLE_NUMBER_PR_CHANGE)</f>
        <v>29-12/1427</v>
      </c>
      <c r="AE31" s="2258"/>
      <c r="AF31" s="2258"/>
      <c r="AG31" s="2258"/>
      <c r="AH31" s="2258"/>
      <c r="AI31" s="2258"/>
      <c r="AJ31" s="2258"/>
      <c r="AK31" s="1642"/>
      <c r="AL31" s="1642"/>
      <c r="AM31" s="287"/>
      <c r="AN31" s="375"/>
      <c r="AO31" s="375"/>
      <c r="AP31" s="375"/>
      <c r="AQ31" s="375"/>
      <c r="AR31" s="375"/>
      <c r="AS31" s="425">
        <v>0</v>
      </c>
    </row>
    <row s="1860" customFormat="1" customHeight="1" ht="18.75" hidden="1">
      <c r="A32" s="1255"/>
      <c r="B32" s="1255"/>
      <c r="C32" s="1255"/>
      <c r="D32" s="1255"/>
      <c r="E32" s="1255"/>
      <c r="F32" s="1255"/>
      <c r="G32" s="1255"/>
      <c r="H32" s="1255"/>
      <c r="I32" s="1255"/>
      <c r="J32" s="1255"/>
      <c r="K32" s="1255"/>
      <c r="L32" s="1387"/>
      <c r="M32" s="1255"/>
      <c r="N32" s="1255"/>
      <c r="O32" s="1255"/>
      <c r="S32" s="2257" t="s">
        <v>43</v>
      </c>
      <c r="T32" s="2257"/>
      <c r="U32" s="1379"/>
      <c r="V32" s="2258" t="str">
        <f>IF(TITLE_IST_PUB_CHANGE="",IF(TITLE_IST_PUB="","",TITLE_IST_PUB),TITLE_IST_PUB_CHANGE)</f>
        <v/>
      </c>
      <c r="W32" s="2258"/>
      <c r="X32" s="2258"/>
      <c r="Y32" s="2258"/>
      <c r="Z32" s="2258"/>
      <c r="AA32" s="2258"/>
      <c r="AB32" s="2258"/>
      <c r="AC32" s="1642"/>
      <c r="AD32" s="2258" t="str">
        <f>IF(TITLE_IST_PUB_CHANGE="",IF(TITLE_IST_PUB="","",TITLE_IST_PUB),TITLE_IST_PUB_CHANGE)</f>
        <v/>
      </c>
      <c r="AE32" s="2258"/>
      <c r="AF32" s="2258"/>
      <c r="AG32" s="2258"/>
      <c r="AH32" s="2258"/>
      <c r="AI32" s="2258"/>
      <c r="AJ32" s="2258"/>
      <c r="AK32" s="1642"/>
      <c r="AL32" s="1642"/>
      <c r="AM32" s="287"/>
      <c r="AN32" s="375"/>
      <c r="AO32" s="375"/>
      <c r="AP32" s="375"/>
      <c r="AQ32" s="375"/>
      <c r="AR32" s="375"/>
      <c r="AS32" s="425">
        <v>0</v>
      </c>
    </row>
    <row customHeight="1" ht="14.25" hidden="1">
      <c r="Q33" s="383"/>
      <c r="R33" s="383"/>
      <c r="S33" s="1282"/>
      <c r="T33" s="464"/>
      <c r="U33" s="464"/>
      <c r="V33" s="329"/>
      <c r="W33" s="329"/>
      <c r="X33" s="329"/>
      <c r="Y33" s="329"/>
      <c r="Z33" s="329"/>
      <c r="AA33" s="329"/>
      <c r="AB33" s="329"/>
      <c r="AC33" s="329"/>
      <c r="AD33" s="329"/>
      <c r="AE33" s="329"/>
      <c r="AF33" s="329"/>
      <c r="AG33" s="329"/>
      <c r="AH33" s="329"/>
      <c r="AI33" s="329"/>
      <c r="AJ33" s="329"/>
      <c r="AK33" s="329"/>
      <c r="AL33" s="1642"/>
      <c r="AS33" s="1638">
        <v>0</v>
      </c>
    </row>
    <row s="1860" customFormat="1" customHeight="1" ht="18.75" hidden="1">
      <c r="A34" s="1255"/>
      <c r="B34" s="1255"/>
      <c r="C34" s="1255"/>
      <c r="D34" s="1255"/>
      <c r="E34" s="1255"/>
      <c r="F34" s="1255"/>
      <c r="G34" s="1255"/>
      <c r="H34" s="1255"/>
      <c r="I34" s="1255"/>
      <c r="J34" s="1255"/>
      <c r="K34" s="1255"/>
      <c r="L34" s="1387"/>
      <c r="M34" s="1255"/>
      <c r="N34" s="1255"/>
      <c r="O34" s="1255"/>
      <c r="S34" s="2257" t="s">
        <v>586</v>
      </c>
      <c r="T34" s="2257"/>
      <c r="U34" s="1379"/>
      <c r="V34" s="2271" t="str">
        <f>IF(TITLE_DATE_PR_CHANGE="",IF(TITLE_DATE_PR="","",TITLE_DATE_PR),TITLE_DATE_PR_CHANGE)</f>
        <v>45432</v>
      </c>
      <c r="W34" s="2271"/>
      <c r="X34" s="2271"/>
      <c r="Y34" s="2271"/>
      <c r="Z34" s="2271"/>
      <c r="AA34" s="2271"/>
      <c r="AB34" s="2271"/>
      <c r="AC34" s="1642"/>
      <c r="AD34" s="2271" t="str">
        <f>IF(TITLE_DATE_PR_CHANGE="",IF(TITLE_DATE_PR="","",TITLE_DATE_PR),TITLE_DATE_PR_CHANGE)</f>
        <v>45432</v>
      </c>
      <c r="AE34" s="2271"/>
      <c r="AF34" s="2271"/>
      <c r="AG34" s="2271"/>
      <c r="AH34" s="2271"/>
      <c r="AI34" s="2271"/>
      <c r="AJ34" s="2271"/>
      <c r="AK34" s="1642"/>
      <c r="AL34" s="1642"/>
      <c r="AM34" s="287"/>
      <c r="AN34" s="375"/>
      <c r="AO34" s="375"/>
      <c r="AP34" s="375"/>
      <c r="AQ34" s="375"/>
      <c r="AR34" s="375"/>
      <c r="AS34" s="425">
        <v>0</v>
      </c>
    </row>
    <row s="1860" customFormat="1" customHeight="1" ht="18.75" hidden="1">
      <c r="A35" s="1255"/>
      <c r="B35" s="1255"/>
      <c r="C35" s="1255"/>
      <c r="D35" s="1255"/>
      <c r="E35" s="1255"/>
      <c r="F35" s="1255"/>
      <c r="G35" s="1255"/>
      <c r="H35" s="1255"/>
      <c r="I35" s="1255"/>
      <c r="J35" s="1255"/>
      <c r="K35" s="1255"/>
      <c r="L35" s="1387"/>
      <c r="M35" s="1255"/>
      <c r="N35" s="1255"/>
      <c r="O35" s="1255"/>
      <c r="S35" s="2257" t="s">
        <v>587</v>
      </c>
      <c r="T35" s="2257"/>
      <c r="U35" s="1379"/>
      <c r="V35" s="2258" t="str">
        <f>IF(TITLE_NUMBER_PR_CHANGE="",IF(TITLE_NUMBER_PR="","",TITLE_NUMBER_PR),TITLE_NUMBER_PR_CHANGE)</f>
        <v>29-12/1427</v>
      </c>
      <c r="W35" s="2258"/>
      <c r="X35" s="2258"/>
      <c r="Y35" s="2258"/>
      <c r="Z35" s="2258"/>
      <c r="AA35" s="2258"/>
      <c r="AB35" s="2258"/>
      <c r="AC35" s="1642"/>
      <c r="AD35" s="2258" t="str">
        <f>IF(TITLE_NUMBER_PR_CHANGE="",IF(TITLE_NUMBER_PR="","",TITLE_NUMBER_PR),TITLE_NUMBER_PR_CHANGE)</f>
        <v>29-12/1427</v>
      </c>
      <c r="AE35" s="2258"/>
      <c r="AF35" s="2258"/>
      <c r="AG35" s="2258"/>
      <c r="AH35" s="2258"/>
      <c r="AI35" s="2258"/>
      <c r="AJ35" s="2258"/>
      <c r="AK35" s="1642"/>
      <c r="AL35" s="1642"/>
      <c r="AM35" s="287"/>
      <c r="AN35" s="375"/>
      <c r="AO35" s="375"/>
      <c r="AP35" s="375"/>
      <c r="AQ35" s="375"/>
      <c r="AR35" s="375"/>
      <c r="AS35" s="425">
        <v>0</v>
      </c>
    </row>
    <row s="1860" customFormat="1" customHeight="1" ht="0">
      <c r="A36" s="1255"/>
      <c r="B36" s="1255"/>
      <c r="C36" s="1255"/>
      <c r="D36" s="1255"/>
      <c r="E36" s="1255"/>
      <c r="F36" s="1255"/>
      <c r="G36" s="1255"/>
      <c r="H36" s="1255"/>
      <c r="I36" s="1255"/>
      <c r="J36" s="1255"/>
      <c r="K36" s="1255"/>
      <c r="L36" s="1387"/>
      <c r="M36" s="1255"/>
      <c r="N36" s="1255"/>
      <c r="O36" s="1255"/>
      <c r="S36" s="1642"/>
      <c r="T36" s="1642"/>
      <c r="U36" s="1977"/>
      <c r="V36" s="1642"/>
      <c r="W36" s="1642"/>
      <c r="X36" s="1642"/>
      <c r="Y36" s="1642"/>
      <c r="Z36" s="1642"/>
      <c r="AA36" s="1642"/>
      <c r="AB36" s="1642"/>
      <c r="AC36" s="1649" t="s">
        <v>588</v>
      </c>
      <c r="AD36" s="1642"/>
      <c r="AE36" s="1642"/>
      <c r="AF36" s="1642"/>
      <c r="AG36" s="1642"/>
      <c r="AH36" s="1642"/>
      <c r="AI36" s="1642"/>
      <c r="AJ36" s="1642"/>
      <c r="AK36" s="1649" t="s">
        <v>588</v>
      </c>
      <c r="AN36" s="375"/>
      <c r="AO36" s="375"/>
      <c r="AP36" s="375"/>
      <c r="AQ36" s="375"/>
      <c r="AR36" s="375"/>
      <c r="AS36" s="425">
        <v>0</v>
      </c>
    </row>
    <row customHeight="1" ht="14.699999999999998">
      <c r="Q37" s="383"/>
      <c r="R37" s="383"/>
      <c r="S37" s="1282"/>
      <c r="T37" s="464"/>
      <c r="U37" s="1251"/>
      <c r="V37" s="2259"/>
      <c r="W37" s="2259"/>
      <c r="X37" s="2259"/>
      <c r="Y37" s="2259"/>
      <c r="Z37" s="2259"/>
      <c r="AA37" s="2259"/>
      <c r="AB37" s="2259"/>
      <c r="AC37" s="2259"/>
      <c r="AD37" s="2259"/>
      <c r="AE37" s="2259"/>
      <c r="AF37" s="2259"/>
      <c r="AG37" s="2259"/>
      <c r="AH37" s="2259"/>
      <c r="AI37" s="2259"/>
      <c r="AJ37" s="2259"/>
      <c r="AK37" s="2259"/>
      <c r="AS37" s="1638">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638">
        <v>14</v>
      </c>
    </row>
    <row customHeight="1" ht="14.699999999999998">
      <c r="Q39" s="383"/>
      <c r="R39" s="383"/>
      <c r="S39" s="2280" t="s">
        <v>88</v>
      </c>
      <c r="T39" s="2216" t="s">
        <v>589</v>
      </c>
      <c r="U39" s="344"/>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638">
        <v>14</v>
      </c>
    </row>
    <row customHeight="1" ht="35.699999999999996">
      <c r="Q40" s="383"/>
      <c r="R40" s="383"/>
      <c r="S40" s="2280"/>
      <c r="T40" s="2216"/>
      <c r="U40" s="1038"/>
      <c r="V40" s="2267" t="s">
        <v>594</v>
      </c>
      <c r="W40" s="2290" t="s">
        <v>595</v>
      </c>
      <c r="X40" s="2269" t="s">
        <v>596</v>
      </c>
      <c r="Y40" s="2270"/>
      <c r="Z40" s="2269" t="s">
        <v>609</v>
      </c>
      <c r="AA40" s="2276"/>
      <c r="AB40" s="2270"/>
      <c r="AC40" s="2285"/>
      <c r="AD40" s="2267" t="s">
        <v>594</v>
      </c>
      <c r="AE40" s="2290" t="s">
        <v>595</v>
      </c>
      <c r="AF40" s="2269" t="s">
        <v>596</v>
      </c>
      <c r="AG40" s="2270"/>
      <c r="AH40" s="2269" t="s">
        <v>597</v>
      </c>
      <c r="AI40" s="2276"/>
      <c r="AJ40" s="2270"/>
      <c r="AK40" s="2285"/>
      <c r="AL40" s="2288"/>
      <c r="AM40" s="2134"/>
      <c r="AS40" s="1638">
        <v>34</v>
      </c>
    </row>
    <row customHeight="1" ht="35.699999999999996">
      <c r="A41" s="1273"/>
      <c r="B41" s="1273" t="s">
        <v>227</v>
      </c>
      <c r="C41" s="1273" t="s">
        <v>228</v>
      </c>
      <c r="D41" s="1273" t="s">
        <v>229</v>
      </c>
      <c r="E41" s="1317" t="s">
        <v>598</v>
      </c>
      <c r="F41" s="1317" t="s">
        <v>599</v>
      </c>
      <c r="G41" s="1317" t="s">
        <v>600</v>
      </c>
      <c r="H41" s="1317" t="s">
        <v>601</v>
      </c>
      <c r="I41" s="1317" t="s">
        <v>602</v>
      </c>
      <c r="J41" s="1317" t="s">
        <v>603</v>
      </c>
      <c r="K41" s="1317" t="s">
        <v>604</v>
      </c>
      <c r="L41" s="1317" t="s">
        <v>579</v>
      </c>
      <c r="Q41" s="383"/>
      <c r="R41" s="383"/>
      <c r="S41" s="2280"/>
      <c r="T41" s="2216"/>
      <c r="U41" s="309"/>
      <c r="V41" s="2268"/>
      <c r="W41" s="2291"/>
      <c r="X41" s="1945" t="s">
        <v>605</v>
      </c>
      <c r="Y41" s="1945" t="s">
        <v>606</v>
      </c>
      <c r="Z41" s="1945" t="s">
        <v>607</v>
      </c>
      <c r="AA41" s="2277" t="s">
        <v>608</v>
      </c>
      <c r="AB41" s="2278"/>
      <c r="AC41" s="2286"/>
      <c r="AD41" s="2268"/>
      <c r="AE41" s="2291"/>
      <c r="AF41" s="1945" t="s">
        <v>605</v>
      </c>
      <c r="AG41" s="1945" t="s">
        <v>606</v>
      </c>
      <c r="AH41" s="1945" t="s">
        <v>607</v>
      </c>
      <c r="AI41" s="2277" t="s">
        <v>608</v>
      </c>
      <c r="AJ41" s="2278"/>
      <c r="AK41" s="2286"/>
      <c r="AL41" s="2289"/>
      <c r="AM41" s="2134"/>
      <c r="AS41" s="1638">
        <v>34</v>
      </c>
    </row>
    <row s="1648" customFormat="1" customHeight="1" ht="11.25" hidden="1">
      <c r="A42" s="1273"/>
      <c r="B42" s="1273"/>
      <c r="C42" s="1273"/>
      <c r="D42" s="1273"/>
      <c r="E42" s="1273"/>
      <c r="F42" s="1273"/>
      <c r="G42" s="1273"/>
      <c r="H42" s="1273"/>
      <c r="I42" s="1273"/>
      <c r="J42" s="1273"/>
      <c r="K42" s="1273"/>
      <c r="L42" s="1317"/>
      <c r="M42" s="1972"/>
      <c r="N42" s="1972"/>
      <c r="O42" s="1972"/>
      <c r="P42" s="1253"/>
      <c r="Q42" s="1254"/>
      <c r="R42" s="1261">
        <v>1</v>
      </c>
      <c r="S42" s="1284" t="s">
        <v>108</v>
      </c>
      <c r="T42" s="1262" t="s">
        <v>99</v>
      </c>
      <c r="U42" s="1252" t="str">
        <f>OFFSET(U42,0,-1)</f>
        <v>2</v>
      </c>
      <c r="V42" s="1963">
        <f>OFFSET(V42,0,-1)+1</f>
        <v>3</v>
      </c>
      <c r="W42" s="1963"/>
      <c r="X42" s="1963">
        <f>OFFSET(X42,0,-1)+1</f>
        <v>1</v>
      </c>
      <c r="Y42" s="1963">
        <f>OFFSET(Y42,0,-1)+1</f>
        <v>2</v>
      </c>
      <c r="Z42" s="1963">
        <f>OFFSET(Z42,0,-1)+1</f>
        <v>3</v>
      </c>
      <c r="AA42" s="2279">
        <f>OFFSET(AA42,0,-1)+1</f>
        <v>4</v>
      </c>
      <c r="AB42" s="2279"/>
      <c r="AC42" s="1963">
        <f>OFFSET(AC42,0,-2)+1</f>
        <v>5</v>
      </c>
      <c r="AD42" s="1963">
        <f>OFFSET(AD42,0,-1)+1</f>
        <v>6</v>
      </c>
      <c r="AE42" s="1963"/>
      <c r="AF42" s="1963">
        <f>OFFSET(AF42,0,-1)+1</f>
        <v>1</v>
      </c>
      <c r="AG42" s="1963">
        <f>OFFSET(AG42,0,-1)+1</f>
        <v>2</v>
      </c>
      <c r="AH42" s="1963">
        <f>OFFSET(AH42,0,-1)+1</f>
        <v>3</v>
      </c>
      <c r="AI42" s="2279">
        <f>OFFSET(AI42,0,-1)+1</f>
        <v>4</v>
      </c>
      <c r="AJ42" s="2279"/>
      <c r="AK42" s="1963">
        <f>OFFSET(AK42,0,-2)+1</f>
        <v>5</v>
      </c>
      <c r="AL42" s="1252">
        <f>OFFSET(AL42,0,-1)</f>
        <v>5</v>
      </c>
      <c r="AM42" s="1963">
        <f>OFFSET(AM42,0,-1)+1</f>
        <v>6</v>
      </c>
      <c r="AN42" s="1643"/>
      <c r="AO42" s="1643"/>
      <c r="AP42" s="1643"/>
      <c r="AQ42" s="1643"/>
      <c r="AR42" s="1643"/>
      <c r="AS42" s="1648">
        <v>0</v>
      </c>
    </row>
    <row customHeight="1" ht="22.049999999999997">
      <c r="A43" s="1274" t="s">
        <v>296</v>
      </c>
      <c r="B43" s="1274"/>
      <c r="C43" s="1274"/>
      <c r="D43" s="1274"/>
      <c r="E43" s="2296">
        <v>1</v>
      </c>
      <c r="F43" s="1274"/>
      <c r="G43" s="1274"/>
      <c r="H43" s="1274"/>
      <c r="I43" s="1274"/>
      <c r="J43" s="1274"/>
      <c r="K43" s="1274"/>
      <c r="L43" s="1317"/>
      <c r="M43" s="1617"/>
      <c r="N43" s="1617"/>
      <c r="O43" s="1617"/>
      <c r="P43" s="1597"/>
      <c r="Q43" s="367"/>
      <c r="R43" s="362"/>
      <c r="S43" s="1965">
        <f>INDEX(PT_DIFFERENTIATION_NUM_NTAR,MATCH(A43,PT_DIFFERENTIATION_NTAR_ID,0))</f>
        <v>0</v>
      </c>
      <c r="T43" s="1532"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31"/>
      <c r="AP43" s="1631" t="str">
        <f>IF(T43="","",T43)</f>
        <v>Наименование тарифа</v>
      </c>
      <c r="AQ43" s="1631"/>
      <c r="AR43" s="1631"/>
      <c r="AS43" s="1638">
        <v>21</v>
      </c>
    </row>
    <row customHeight="1" ht="22.049999999999997">
      <c r="A44" s="1274" t="s">
        <v>296</v>
      </c>
      <c r="B44" s="1274" t="s">
        <v>297</v>
      </c>
      <c r="C44" s="1274"/>
      <c r="D44" s="1274"/>
      <c r="E44" s="2297"/>
      <c r="F44" s="2296">
        <v>1</v>
      </c>
      <c r="G44" s="1274"/>
      <c r="H44" s="1274"/>
      <c r="I44" s="1274"/>
      <c r="J44" s="1274"/>
      <c r="K44" s="1274"/>
      <c r="L44" s="1317"/>
      <c r="M44" s="1617"/>
      <c r="N44" s="1617"/>
      <c r="O44" s="1617"/>
      <c r="P44" s="1947"/>
      <c r="Q44" s="359"/>
      <c r="R44" s="360"/>
      <c r="S44" s="1965" t="str">
        <f>INDEX(PT_DIFFERENTIATION_NUM_TER,MATCH(B44,PT_DIFFERENTIATION_TER_ID,0))</f>
        <v>.</v>
      </c>
      <c r="T44" s="1529"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1631"/>
      <c r="AP44" s="1631" t="str">
        <f>IF(T44="","",T44)</f>
        <v>Территория действия тарифа</v>
      </c>
      <c r="AQ44" s="1631"/>
      <c r="AR44" s="1631"/>
      <c r="AS44" s="1638">
        <v>21</v>
      </c>
    </row>
    <row customHeight="1" ht="24">
      <c r="A45" s="1274" t="s">
        <v>296</v>
      </c>
      <c r="B45" s="1274" t="s">
        <v>297</v>
      </c>
      <c r="C45" s="1274" t="s">
        <v>298</v>
      </c>
      <c r="D45" s="1274"/>
      <c r="E45" s="2297"/>
      <c r="F45" s="2297"/>
      <c r="G45" s="2296">
        <v>1</v>
      </c>
      <c r="H45" s="1274"/>
      <c r="I45" s="1274"/>
      <c r="J45" s="1274"/>
      <c r="K45" s="1274"/>
      <c r="L45" s="1317"/>
      <c r="M45" s="1617"/>
      <c r="N45" s="1617"/>
      <c r="O45" s="1617"/>
      <c r="P45" s="361"/>
      <c r="Q45" s="359"/>
      <c r="R45" s="360"/>
      <c r="S45" s="1965"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1631"/>
      <c r="AP45" s="1631" t="str">
        <f>IF(T45="","",T45)</f>
        <v>Наименование системы теплоснабжения </v>
      </c>
      <c r="AQ45" s="1631"/>
      <c r="AR45" s="1631"/>
      <c r="AS45" s="1638">
        <v>23</v>
      </c>
    </row>
    <row customHeight="1" ht="22.049999999999997">
      <c r="A46" s="1274" t="s">
        <v>296</v>
      </c>
      <c r="B46" s="1274" t="s">
        <v>297</v>
      </c>
      <c r="C46" s="1274" t="s">
        <v>298</v>
      </c>
      <c r="D46" s="1274" t="s">
        <v>299</v>
      </c>
      <c r="E46" s="2297"/>
      <c r="F46" s="2297"/>
      <c r="G46" s="2297"/>
      <c r="H46" s="2296">
        <v>1</v>
      </c>
      <c r="I46" s="1274"/>
      <c r="J46" s="1274"/>
      <c r="K46" s="1274"/>
      <c r="L46" s="1317"/>
      <c r="M46" s="1617"/>
      <c r="N46" s="1617"/>
      <c r="O46" s="1617"/>
      <c r="P46" s="361"/>
      <c r="Q46" s="359"/>
      <c r="R46" s="360"/>
      <c r="S46" s="1965"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1631"/>
      <c r="AP46" s="1631" t="str">
        <f>IF(T46="","",T46)</f>
        <v>Источник тепловой энергии  </v>
      </c>
      <c r="AQ46" s="1631"/>
      <c r="AR46" s="1631"/>
      <c r="AS46" s="1638">
        <v>21</v>
      </c>
    </row>
    <row customHeight="1" ht="49.5">
      <c r="A47" s="1274" t="s">
        <v>296</v>
      </c>
      <c r="B47" s="1274" t="s">
        <v>297</v>
      </c>
      <c r="C47" s="1274" t="s">
        <v>298</v>
      </c>
      <c r="D47" s="1274" t="s">
        <v>299</v>
      </c>
      <c r="E47" s="2297"/>
      <c r="F47" s="2297"/>
      <c r="G47" s="2297"/>
      <c r="H47" s="2297"/>
      <c r="I47" s="2134" t="str">
        <f>S46&amp;".1"</f>
        <v>....1</v>
      </c>
      <c r="J47" s="1274"/>
      <c r="K47" s="1274"/>
      <c r="L47" s="1317" t="s">
        <v>566</v>
      </c>
      <c r="P47" s="2264">
        <v>1</v>
      </c>
      <c r="Q47" s="1961"/>
      <c r="R47" s="363"/>
      <c r="S47" s="1965" t="str">
        <f>$I47</f>
        <v>....1</v>
      </c>
      <c r="T47" s="292" t="s">
        <v>567</v>
      </c>
      <c r="U47" s="307"/>
      <c r="V47" s="2252"/>
      <c r="W47" s="2253"/>
      <c r="X47" s="2253"/>
      <c r="Y47" s="2253"/>
      <c r="Z47" s="2253"/>
      <c r="AA47" s="2253"/>
      <c r="AB47" s="2253"/>
      <c r="AC47" s="2254"/>
      <c r="AD47" s="2252"/>
      <c r="AE47" s="2253"/>
      <c r="AF47" s="2253"/>
      <c r="AG47" s="2253"/>
      <c r="AH47" s="2253"/>
      <c r="AI47" s="2253"/>
      <c r="AJ47" s="2253"/>
      <c r="AK47" s="2253"/>
      <c r="AL47" s="2254"/>
      <c r="AM47" s="1265" t="s">
        <v>568</v>
      </c>
      <c r="AO47" s="1631"/>
      <c r="AP47" s="1631" t="str">
        <f>IF(T47="","",T47)</f>
        <v>Схема подключения теплопотребляющей установки к коллектору источника тепловой энергии</v>
      </c>
      <c r="AQ47" s="1631"/>
      <c r="AR47" s="1631"/>
      <c r="AS47" s="1638">
        <v>47</v>
      </c>
    </row>
    <row customHeight="1" ht="22.049999999999997">
      <c r="A48" s="1274" t="s">
        <v>296</v>
      </c>
      <c r="B48" s="1274" t="s">
        <v>297</v>
      </c>
      <c r="C48" s="1274" t="s">
        <v>298</v>
      </c>
      <c r="D48" s="1274" t="s">
        <v>299</v>
      </c>
      <c r="E48" s="2297"/>
      <c r="F48" s="2297"/>
      <c r="G48" s="2297"/>
      <c r="H48" s="2297"/>
      <c r="I48" s="2108"/>
      <c r="J48" s="2134" t="str">
        <f>I47&amp;".1"</f>
        <v>....1.1</v>
      </c>
      <c r="K48" s="1274"/>
      <c r="L48" s="1317" t="s">
        <v>569</v>
      </c>
      <c r="P48" s="2264"/>
      <c r="Q48" s="2264">
        <v>1</v>
      </c>
      <c r="R48" s="364"/>
      <c r="S48" s="1965" t="str">
        <f>$J48</f>
        <v>....1.1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1631"/>
      <c r="AP48" s="1631" t="str">
        <f>IF(T48="","",T48)</f>
        <v>Группа потребителей</v>
      </c>
      <c r="AQ48" s="1631"/>
      <c r="AR48" s="1631"/>
      <c r="AS48" s="1638">
        <v>21</v>
      </c>
    </row>
    <row customHeight="1" ht="22.049999999999997">
      <c r="A49" s="1274" t="s">
        <v>296</v>
      </c>
      <c r="B49" s="1274" t="s">
        <v>297</v>
      </c>
      <c r="C49" s="1274" t="s">
        <v>298</v>
      </c>
      <c r="D49" s="1274" t="s">
        <v>299</v>
      </c>
      <c r="E49" s="2297"/>
      <c r="F49" s="2297"/>
      <c r="G49" s="2297"/>
      <c r="H49" s="2297"/>
      <c r="I49" s="2108"/>
      <c r="J49" s="2108"/>
      <c r="K49" s="2134" t="str">
        <f>J48&amp;".1"</f>
        <v>....1.1.1</v>
      </c>
      <c r="L49" s="1317" t="s">
        <v>572</v>
      </c>
      <c r="P49" s="2264"/>
      <c r="Q49" s="2264"/>
      <c r="R49" s="364">
        <v>1</v>
      </c>
      <c r="S49" s="1965" t="str">
        <f>$K49</f>
        <v>....1.1.1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573</v>
      </c>
      <c r="AN49" s="1643">
        <f>STRCHECKDATE(V50:AL50)</f>
      </c>
      <c r="AO49" s="1631"/>
      <c r="AP49" s="1631" t="str">
        <f>IF(T49="","",T49)</f>
        <v/>
      </c>
      <c r="AQ49" s="1631"/>
      <c r="AR49" s="1631"/>
      <c r="AS49" s="1638">
        <v>21</v>
      </c>
    </row>
    <row customHeight="1" ht="1.05">
      <c r="A50" s="1274" t="s">
        <v>296</v>
      </c>
      <c r="B50" s="1274" t="s">
        <v>297</v>
      </c>
      <c r="C50" s="1274" t="s">
        <v>298</v>
      </c>
      <c r="D50" s="1274" t="s">
        <v>299</v>
      </c>
      <c r="E50" s="2297"/>
      <c r="F50" s="2297"/>
      <c r="G50" s="2297"/>
      <c r="H50" s="2297"/>
      <c r="I50" s="2108"/>
      <c r="J50" s="2108"/>
      <c r="K50" s="2134"/>
      <c r="L50" s="1317"/>
      <c r="P50" s="2264"/>
      <c r="Q50" s="2264"/>
      <c r="R50" s="364"/>
      <c r="S50" s="1974"/>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1631"/>
      <c r="AP50" s="1631" t="str">
        <f>IF(T50="","",T50)</f>
        <v/>
      </c>
      <c r="AQ50" s="1631"/>
      <c r="AR50" s="1631"/>
      <c r="AS50" s="1638">
        <v>1</v>
      </c>
    </row>
    <row customHeight="1" ht="11.549999999999999">
      <c r="A51" s="1274" t="s">
        <v>296</v>
      </c>
      <c r="B51" s="1274" t="s">
        <v>297</v>
      </c>
      <c r="C51" s="1274" t="s">
        <v>298</v>
      </c>
      <c r="D51" s="1274" t="s">
        <v>299</v>
      </c>
      <c r="E51" s="2297"/>
      <c r="F51" s="2297"/>
      <c r="G51" s="2297"/>
      <c r="H51" s="2297"/>
      <c r="I51" s="2108"/>
      <c r="J51" s="2134"/>
      <c r="K51" s="1274"/>
      <c r="L51" s="1317"/>
      <c r="P51" s="2264"/>
      <c r="Q51" s="2264"/>
      <c r="R51" s="363"/>
      <c r="S51" s="1285"/>
      <c r="T51" s="295" t="s">
        <v>574</v>
      </c>
      <c r="U51" s="607"/>
      <c r="V51" s="607"/>
      <c r="W51" s="607"/>
      <c r="X51" s="607"/>
      <c r="Y51" s="607"/>
      <c r="Z51" s="607"/>
      <c r="AA51" s="607"/>
      <c r="AB51" s="607"/>
      <c r="AC51" s="607"/>
      <c r="AD51" s="607"/>
      <c r="AE51" s="607"/>
      <c r="AF51" s="607"/>
      <c r="AG51" s="607"/>
      <c r="AH51" s="607"/>
      <c r="AI51" s="607"/>
      <c r="AJ51" s="607"/>
      <c r="AK51" s="607"/>
      <c r="AL51" s="331"/>
      <c r="AM51" s="2262"/>
      <c r="AO51" s="1631"/>
      <c r="AP51" s="1631" t="str">
        <f>IF(T51="","",T51)</f>
        <v>Добавить вид теплоносителя (параметры теплоносителя)</v>
      </c>
      <c r="AQ51" s="1631"/>
      <c r="AR51" s="1631"/>
      <c r="AS51" s="1638">
        <v>11</v>
      </c>
    </row>
    <row customHeight="1" ht="11.549999999999999">
      <c r="A52" s="1274" t="s">
        <v>296</v>
      </c>
      <c r="B52" s="1274" t="s">
        <v>297</v>
      </c>
      <c r="C52" s="1274" t="s">
        <v>298</v>
      </c>
      <c r="D52" s="1274" t="s">
        <v>299</v>
      </c>
      <c r="E52" s="2297"/>
      <c r="F52" s="2297"/>
      <c r="G52" s="2297"/>
      <c r="H52" s="2297"/>
      <c r="I52" s="2134"/>
      <c r="J52" s="1274"/>
      <c r="K52" s="1274"/>
      <c r="L52" s="1317"/>
      <c r="P52" s="2264"/>
      <c r="Q52" s="1961"/>
      <c r="R52" s="363"/>
      <c r="S52" s="1285"/>
      <c r="T52" s="294" t="s">
        <v>575</v>
      </c>
      <c r="U52" s="607"/>
      <c r="V52" s="607"/>
      <c r="W52" s="607"/>
      <c r="X52" s="607"/>
      <c r="Y52" s="607"/>
      <c r="Z52" s="607"/>
      <c r="AA52" s="607"/>
      <c r="AB52" s="607"/>
      <c r="AC52" s="373"/>
      <c r="AD52" s="607"/>
      <c r="AE52" s="607"/>
      <c r="AF52" s="607"/>
      <c r="AG52" s="607"/>
      <c r="AH52" s="607"/>
      <c r="AI52" s="607"/>
      <c r="AJ52" s="607"/>
      <c r="AK52" s="373"/>
      <c r="AL52" s="607"/>
      <c r="AM52" s="310"/>
      <c r="AO52" s="1631"/>
      <c r="AP52" s="1631" t="str">
        <f>IF(T52="","",T52)</f>
        <v>Добавить группу потребителей</v>
      </c>
      <c r="AQ52" s="1631"/>
      <c r="AR52" s="1631"/>
      <c r="AS52" s="1638">
        <v>11</v>
      </c>
    </row>
    <row customHeight="1" ht="14.699999999999998">
      <c r="A53" s="1274" t="s">
        <v>296</v>
      </c>
      <c r="B53" s="1274" t="s">
        <v>297</v>
      </c>
      <c r="C53" s="1274" t="s">
        <v>298</v>
      </c>
      <c r="D53" s="1274" t="s">
        <v>299</v>
      </c>
      <c r="E53" s="2297"/>
      <c r="F53" s="2297"/>
      <c r="G53" s="2297"/>
      <c r="H53" s="2296"/>
      <c r="I53" s="1274"/>
      <c r="J53" s="1274"/>
      <c r="K53" s="1274"/>
      <c r="L53" s="1317"/>
      <c r="M53" s="1617"/>
      <c r="N53" s="1617"/>
      <c r="O53" s="1642"/>
      <c r="P53" s="367"/>
      <c r="Q53" s="382"/>
      <c r="R53" s="362"/>
      <c r="S53" s="1285"/>
      <c r="T53" s="372" t="s">
        <v>576</v>
      </c>
      <c r="U53" s="607"/>
      <c r="V53" s="607"/>
      <c r="W53" s="607"/>
      <c r="X53" s="607"/>
      <c r="Y53" s="607"/>
      <c r="Z53" s="607"/>
      <c r="AA53" s="607"/>
      <c r="AB53" s="607"/>
      <c r="AC53" s="373"/>
      <c r="AD53" s="607"/>
      <c r="AE53" s="607"/>
      <c r="AF53" s="607"/>
      <c r="AG53" s="607"/>
      <c r="AH53" s="607"/>
      <c r="AI53" s="607"/>
      <c r="AJ53" s="607"/>
      <c r="AK53" s="373"/>
      <c r="AL53" s="607"/>
      <c r="AM53" s="310"/>
      <c r="AO53" s="1631"/>
      <c r="AP53" s="1631" t="str">
        <f>IF(T53="","",T53)</f>
        <v>Добавить схему подключения</v>
      </c>
      <c r="AQ53" s="1631"/>
      <c r="AR53" s="1631"/>
      <c r="AS53" s="1638">
        <v>14</v>
      </c>
    </row>
    <row s="1649" customFormat="1" customHeight="1" ht="1.05">
      <c r="A54" s="1274" t="s">
        <v>296</v>
      </c>
      <c r="B54" s="1274" t="s">
        <v>297</v>
      </c>
      <c r="C54" s="1274" t="s">
        <v>298</v>
      </c>
      <c r="D54" s="1981"/>
      <c r="E54" s="2297"/>
      <c r="F54" s="2297"/>
      <c r="G54" s="2296"/>
      <c r="H54" s="1981"/>
      <c r="I54" s="1981"/>
      <c r="J54" s="1981"/>
      <c r="K54" s="1981"/>
      <c r="L54" s="1387"/>
      <c r="M54" s="1617"/>
      <c r="N54" s="1617"/>
      <c r="O54" s="164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1258"/>
      <c r="AP54" s="1258" t="str">
        <f>IF(T54="","",T54)</f>
        <v>Добавить источник для дифференциации</v>
      </c>
      <c r="AQ54" s="1258"/>
      <c r="AR54" s="1258"/>
      <c r="AS54" s="1649">
        <v>1</v>
      </c>
    </row>
    <row s="1649" customFormat="1" customHeight="1" ht="1.05">
      <c r="A55" s="1274" t="s">
        <v>296</v>
      </c>
      <c r="B55" s="1274" t="s">
        <v>297</v>
      </c>
      <c r="C55" s="1981"/>
      <c r="D55" s="1981"/>
      <c r="E55" s="2297"/>
      <c r="F55" s="2296"/>
      <c r="G55" s="1981"/>
      <c r="H55" s="1981"/>
      <c r="I55" s="1981"/>
      <c r="J55" s="1981"/>
      <c r="K55" s="1981"/>
      <c r="L55" s="1387"/>
      <c r="M55" s="1982"/>
      <c r="N55" s="1982"/>
      <c r="O55" s="1642"/>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1258"/>
      <c r="AP55" s="1258" t="str">
        <f>IF(T55="","",T55)</f>
        <v>Добавить централизованную систему для дифференциации</v>
      </c>
      <c r="AQ55" s="1258"/>
      <c r="AR55" s="1258"/>
      <c r="AS55" s="1649">
        <v>1</v>
      </c>
    </row>
    <row s="1649" customFormat="1" customHeight="1" ht="1.05">
      <c r="A56" s="1274" t="s">
        <v>296</v>
      </c>
      <c r="B56" s="1274"/>
      <c r="C56" s="1274"/>
      <c r="D56" s="1274"/>
      <c r="E56" s="2296"/>
      <c r="F56" s="1274"/>
      <c r="G56" s="1274"/>
      <c r="H56" s="1274"/>
      <c r="I56" s="1274"/>
      <c r="J56" s="1274"/>
      <c r="K56" s="1274"/>
      <c r="L56" s="1317"/>
      <c r="M56" s="1982"/>
      <c r="N56" s="1982"/>
      <c r="O56" s="1642"/>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1631"/>
      <c r="AP56" s="1631" t="str">
        <f>IF(T56="","",T56)</f>
        <v>Добавить территорию для дифференциации</v>
      </c>
      <c r="AQ56" s="1631"/>
      <c r="AR56" s="1631"/>
      <c r="AS56" s="1643">
        <v>1</v>
      </c>
    </row>
    <row s="1649" customFormat="1" customHeight="1" ht="1.05">
      <c r="A57" s="1981"/>
      <c r="B57" s="1981"/>
      <c r="C57" s="1981"/>
      <c r="D57" s="1981"/>
      <c r="E57" s="1274"/>
      <c r="F57" s="1981"/>
      <c r="G57" s="1981"/>
      <c r="H57" s="1981"/>
      <c r="I57" s="1981"/>
      <c r="J57" s="1981"/>
      <c r="K57" s="1981"/>
      <c r="L57" s="1387"/>
      <c r="M57" s="1982"/>
      <c r="N57" s="1982"/>
      <c r="O57" s="1642"/>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1258"/>
      <c r="AP57" s="1258" t="str">
        <f>IF(T57="","",T57)</f>
        <v>Добавить наименование тарифа</v>
      </c>
      <c r="AQ57" s="1258"/>
      <c r="AR57" s="1258"/>
      <c r="AS57" s="1649">
        <v>1</v>
      </c>
    </row>
    <row customHeight="1" ht="11.549999999999999">
      <c r="M58" s="1638"/>
      <c r="N58" s="1638"/>
      <c r="O58" s="1642"/>
      <c r="P58" s="1638"/>
      <c r="Q58" s="1638"/>
      <c r="R58" s="1638"/>
      <c r="S58" s="1638"/>
      <c r="AN58" s="1638"/>
      <c r="AO58" s="1638"/>
      <c r="AP58" s="1638"/>
      <c r="AQ58" s="1638"/>
      <c r="AR58" s="1638"/>
      <c r="AS58" s="1638">
        <v>11</v>
      </c>
    </row>
    <row customHeight="1" ht="28.5">
      <c r="O59" s="1642"/>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638">
        <v>27</v>
      </c>
    </row>
    <row customHeight="1" ht="65.25">
      <c r="O60" s="1642"/>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638">
        <v>62</v>
      </c>
    </row>
    <row customHeight="1" ht="14.699999999999998">
      <c r="O61" s="1642"/>
      <c r="AS61" s="1638">
        <v>14</v>
      </c>
    </row>
    <row customHeight="1" ht="18.75">
      <c r="O62" s="1642"/>
      <c r="S62" s="1260"/>
      <c r="T62" s="2292"/>
      <c r="U62" s="2292"/>
      <c r="V62" s="2292"/>
      <c r="W62" s="2292"/>
      <c r="X62" s="2292"/>
      <c r="Y62" s="2292"/>
      <c r="Z62" s="2292"/>
      <c r="AA62" s="2292"/>
      <c r="AB62" s="2292"/>
      <c r="AC62" s="2292"/>
      <c r="AD62" s="2292"/>
      <c r="AE62" s="2292"/>
      <c r="AF62" s="2292"/>
      <c r="AG62" s="2292"/>
      <c r="AH62" s="2292"/>
      <c r="AI62" s="2292"/>
      <c r="AJ62" s="2292"/>
      <c r="AK62" s="2292"/>
      <c r="AL62" s="2292"/>
      <c r="AM62" s="2292"/>
      <c r="AS62" s="1638">
        <v>18</v>
      </c>
    </row>
    <row customHeight="1" ht="18.75">
      <c r="O63" s="1642"/>
      <c r="T63" s="2292"/>
      <c r="U63" s="2292"/>
      <c r="V63" s="2292"/>
      <c r="W63" s="2292"/>
      <c r="X63" s="2292"/>
      <c r="Y63" s="2292"/>
      <c r="Z63" s="2292"/>
      <c r="AA63" s="2292"/>
      <c r="AB63" s="2292"/>
      <c r="AC63" s="2292"/>
      <c r="AD63" s="2292"/>
      <c r="AE63" s="2292"/>
      <c r="AF63" s="2292"/>
      <c r="AG63" s="2292"/>
      <c r="AH63" s="2292"/>
      <c r="AI63" s="2292"/>
      <c r="AJ63" s="2292"/>
      <c r="AK63" s="2292"/>
      <c r="AL63" s="2292"/>
      <c r="AM63" s="2292"/>
      <c r="AS63" s="1638">
        <v>18</v>
      </c>
    </row>
    <row customHeight="1" ht="29.25">
      <c r="O64" s="1642"/>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638">
        <v>28</v>
      </c>
    </row>
    <row customHeight="1" ht="22.5" hidden="1">
      <c r="A65" s="1638" t="s">
        <v>82</v>
      </c>
      <c r="B65" s="1638">
        <v>0</v>
      </c>
      <c r="C65" s="1638">
        <v>0</v>
      </c>
      <c r="D65" s="1638">
        <v>0</v>
      </c>
      <c r="E65" s="1638">
        <v>0</v>
      </c>
      <c r="F65" s="1638">
        <v>0</v>
      </c>
      <c r="G65" s="1638">
        <v>0</v>
      </c>
      <c r="H65" s="1638">
        <v>0</v>
      </c>
      <c r="I65" s="1638">
        <v>0</v>
      </c>
      <c r="J65" s="1638">
        <v>0</v>
      </c>
      <c r="K65" s="1638">
        <v>0</v>
      </c>
      <c r="L65" s="1946">
        <v>0</v>
      </c>
      <c r="M65" s="1972">
        <v>0</v>
      </c>
      <c r="N65" s="1972">
        <v>0</v>
      </c>
      <c r="O65" s="1972">
        <v>0</v>
      </c>
      <c r="P65" s="1972">
        <v>3</v>
      </c>
      <c r="Q65" s="351">
        <v>3</v>
      </c>
      <c r="R65" s="351">
        <v>3</v>
      </c>
      <c r="S65" s="588">
        <v>12</v>
      </c>
      <c r="T65" s="1638">
        <v>31</v>
      </c>
      <c r="U65" s="1638">
        <v>0</v>
      </c>
      <c r="V65" s="1638">
        <v>0</v>
      </c>
      <c r="W65" s="1638">
        <v>0</v>
      </c>
      <c r="X65" s="1638">
        <v>0</v>
      </c>
      <c r="Y65" s="1638">
        <v>0</v>
      </c>
      <c r="Z65" s="1638">
        <v>0</v>
      </c>
      <c r="AA65" s="1638">
        <v>0</v>
      </c>
      <c r="AB65" s="1638">
        <v>0</v>
      </c>
      <c r="AC65" s="1638">
        <v>0</v>
      </c>
      <c r="AD65" s="1638">
        <v>24</v>
      </c>
      <c r="AE65" s="1638">
        <v>0</v>
      </c>
      <c r="AF65" s="1638">
        <v>24</v>
      </c>
      <c r="AG65" s="1638">
        <v>24</v>
      </c>
      <c r="AH65" s="1638">
        <v>11</v>
      </c>
      <c r="AI65" s="1638">
        <v>3</v>
      </c>
      <c r="AJ65" s="1638">
        <v>11</v>
      </c>
      <c r="AK65" s="1638">
        <v>0</v>
      </c>
      <c r="AL65" s="1638">
        <v>4</v>
      </c>
      <c r="AM65" s="1638">
        <v>115</v>
      </c>
      <c r="AN65" s="1643">
        <v>10</v>
      </c>
      <c r="AO65" s="1643">
        <v>10</v>
      </c>
      <c r="AP65" s="1643">
        <v>10</v>
      </c>
      <c r="AQ65" s="1643">
        <v>10</v>
      </c>
      <c r="AR65" s="1643">
        <v>10</v>
      </c>
      <c r="AS65" s="1638">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695B8C-D262-B6AB-3EE2-9C1C7B2D7A12}"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1.00390625" customWidth="1"/>
    <col min="21" max="21" style="1642" width="0.7109375" hidden="1" customWidth="1"/>
    <col min="22" max="22" style="1642" width="1.7109375" hidden="1" customWidth="1"/>
    <col min="23" max="23" style="1642" width="24.7109375" hidden="1" customWidth="1"/>
    <col min="24" max="25" style="1642" width="0.14062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0.140625" customWidth="1"/>
    <col min="31" max="31" style="1642" width="24.00390625" customWidth="1"/>
    <col min="32" max="33" style="1642" width="0.14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43">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39"/>
      <c r="Q3" s="359"/>
      <c r="R3" s="360"/>
      <c r="S3" s="1343">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1343">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360"/>
      <c r="S5" s="1343">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507"/>
      <c r="AP5" s="507" t="str">
        <f>IF(T5="","",T5)</f>
        <v>Источник тепловой энергии  </v>
      </c>
      <c r="AQ5" s="507"/>
      <c r="AR5" s="507"/>
      <c r="AS5" s="1162">
        <v>0</v>
      </c>
    </row>
    <row customHeight="1" ht="47.25" hidden="1">
      <c r="A6" s="1370"/>
      <c r="B6" s="1370"/>
      <c r="C6" s="1370"/>
      <c r="D6" s="1370"/>
      <c r="E6" s="2266"/>
      <c r="F6" s="2266"/>
      <c r="G6" s="2266"/>
      <c r="H6" s="2266"/>
      <c r="I6" s="2263">
        <f>S5&amp;".1"</f>
      </c>
      <c r="J6" s="1370"/>
      <c r="K6" s="1370"/>
      <c r="L6" s="1371" t="s">
        <v>566</v>
      </c>
      <c r="M6" s="544"/>
      <c r="P6" s="2264">
        <v>1</v>
      </c>
      <c r="Q6" s="1338"/>
      <c r="R6" s="363"/>
      <c r="S6" s="1343">
        <f>$I6</f>
      </c>
      <c r="T6" s="292" t="s">
        <v>567</v>
      </c>
      <c r="U6" s="307"/>
      <c r="V6" s="2252"/>
      <c r="W6" s="2253"/>
      <c r="X6" s="2253"/>
      <c r="Y6" s="2253"/>
      <c r="Z6" s="2253"/>
      <c r="AA6" s="2253"/>
      <c r="AB6" s="2253"/>
      <c r="AC6" s="2254"/>
      <c r="AD6" s="2252"/>
      <c r="AE6" s="2253"/>
      <c r="AF6" s="2253"/>
      <c r="AG6" s="2253"/>
      <c r="AH6" s="2253"/>
      <c r="AI6" s="2253"/>
      <c r="AJ6" s="2253"/>
      <c r="AK6" s="2253"/>
      <c r="AL6" s="2254"/>
      <c r="AM6" s="1265" t="s">
        <v>568</v>
      </c>
      <c r="AO6" s="507"/>
      <c r="AP6" s="507" t="str">
        <f>IF(T6="","",T6)</f>
        <v>Схема подключения теплопотребляющей установки к коллектору источника тепловой энергии</v>
      </c>
      <c r="AQ6" s="507"/>
      <c r="AR6" s="507"/>
      <c r="AS6" s="1162">
        <v>0</v>
      </c>
    </row>
    <row customHeight="1" ht="21" hidden="1">
      <c r="A7" s="1370"/>
      <c r="B7" s="1370"/>
      <c r="C7" s="1370"/>
      <c r="D7" s="1370"/>
      <c r="E7" s="2266"/>
      <c r="F7" s="2266"/>
      <c r="G7" s="2266"/>
      <c r="H7" s="2266"/>
      <c r="I7" s="2293"/>
      <c r="J7" s="2263">
        <f>I6&amp;".1"</f>
      </c>
      <c r="K7" s="1370"/>
      <c r="L7" s="1371" t="s">
        <v>569</v>
      </c>
      <c r="M7" s="544"/>
      <c r="N7" s="1373"/>
      <c r="P7" s="2264"/>
      <c r="Q7" s="2264">
        <v>1</v>
      </c>
      <c r="R7" s="364"/>
      <c r="S7" s="1343">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507"/>
      <c r="AP7" s="507" t="str">
        <f>IF(T7="","",T7)</f>
        <v>Группа потребителей</v>
      </c>
      <c r="AQ7" s="507"/>
      <c r="AR7" s="507"/>
      <c r="AS7" s="1162">
        <v>0</v>
      </c>
    </row>
    <row customHeight="1" ht="21" hidden="1">
      <c r="A8" s="1370"/>
      <c r="B8" s="1370"/>
      <c r="C8" s="1370"/>
      <c r="D8" s="1370"/>
      <c r="E8" s="2266"/>
      <c r="F8" s="2266"/>
      <c r="G8" s="2266"/>
      <c r="H8" s="2266"/>
      <c r="I8" s="2293"/>
      <c r="J8" s="2293"/>
      <c r="K8" s="2263">
        <f>J7&amp;".1"</f>
      </c>
      <c r="L8" s="1371" t="s">
        <v>572</v>
      </c>
      <c r="M8" s="544"/>
      <c r="N8" s="1373"/>
      <c r="O8" s="1373"/>
      <c r="P8" s="2264"/>
      <c r="Q8" s="2264"/>
      <c r="R8" s="364">
        <v>1</v>
      </c>
      <c r="S8" s="1343">
        <f>$K8</f>
      </c>
      <c r="T8" s="1354"/>
      <c r="U8" s="307"/>
      <c r="V8" s="332"/>
      <c r="W8" s="758"/>
      <c r="X8" s="332"/>
      <c r="Y8" s="391"/>
      <c r="Z8" s="2272"/>
      <c r="AA8" s="2114" t="s">
        <v>66</v>
      </c>
      <c r="AB8" s="2272"/>
      <c r="AC8" s="2114" t="s">
        <v>66</v>
      </c>
      <c r="AD8" s="332"/>
      <c r="AE8" s="758"/>
      <c r="AF8" s="332"/>
      <c r="AG8" s="391"/>
      <c r="AH8" s="2272"/>
      <c r="AI8" s="2114" t="s">
        <v>66</v>
      </c>
      <c r="AJ8" s="2272"/>
      <c r="AK8" s="2114" t="s">
        <v>66</v>
      </c>
      <c r="AL8" s="332"/>
      <c r="AM8" s="2260" t="s">
        <v>573</v>
      </c>
      <c r="AN8" s="518">
        <f>STRCHECKDATE(V9:AL9)</f>
      </c>
      <c r="AO8" s="507"/>
      <c r="AP8" s="507" t="str">
        <f>IF(T8="","",T8)</f>
        <v/>
      </c>
      <c r="AQ8" s="507"/>
      <c r="AR8" s="507"/>
      <c r="AS8" s="1162">
        <v>0</v>
      </c>
    </row>
    <row customHeight="1" ht="0.75" hidden="1">
      <c r="A9" s="1370"/>
      <c r="B9" s="1370"/>
      <c r="C9" s="1370"/>
      <c r="D9" s="1370"/>
      <c r="E9" s="2266"/>
      <c r="F9" s="2266"/>
      <c r="G9" s="2266"/>
      <c r="H9" s="2266"/>
      <c r="I9" s="2293"/>
      <c r="J9" s="2293"/>
      <c r="K9" s="2263"/>
      <c r="L9" s="1371"/>
      <c r="M9" s="544"/>
      <c r="N9" s="1373"/>
      <c r="O9" s="1373"/>
      <c r="P9" s="2264"/>
      <c r="Q9" s="2264"/>
      <c r="R9" s="364"/>
      <c r="S9" s="1349"/>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5" hidden="1">
      <c r="A10" s="1370"/>
      <c r="B10" s="1370"/>
      <c r="C10" s="1370"/>
      <c r="D10" s="1370"/>
      <c r="E10" s="2266"/>
      <c r="F10" s="2266"/>
      <c r="G10" s="2266"/>
      <c r="H10" s="2266"/>
      <c r="I10" s="2293"/>
      <c r="J10" s="2263"/>
      <c r="K10" s="1370"/>
      <c r="L10" s="1371"/>
      <c r="M10" s="544"/>
      <c r="N10" s="1373"/>
      <c r="P10" s="2264"/>
      <c r="Q10" s="2264"/>
      <c r="R10" s="363"/>
      <c r="S10" s="1285"/>
      <c r="T10" s="295"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5" hidden="1">
      <c r="A11" s="1370"/>
      <c r="B11" s="1370"/>
      <c r="C11" s="1370"/>
      <c r="D11" s="1370"/>
      <c r="E11" s="2266"/>
      <c r="F11" s="2266"/>
      <c r="G11" s="2266"/>
      <c r="H11" s="2266"/>
      <c r="I11" s="2263"/>
      <c r="J11" s="1370"/>
      <c r="K11" s="1370"/>
      <c r="L11" s="1371"/>
      <c r="M11" s="544"/>
      <c r="P11" s="2264"/>
      <c r="Q11" s="1338"/>
      <c r="R11" s="363"/>
      <c r="S11" s="1285"/>
      <c r="T11" s="294"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14.25" hidden="1">
      <c r="A12" s="1370"/>
      <c r="B12" s="1370"/>
      <c r="C12" s="1370"/>
      <c r="D12" s="1370"/>
      <c r="E12" s="2266"/>
      <c r="F12" s="2266"/>
      <c r="G12" s="2266"/>
      <c r="H12" s="2265"/>
      <c r="I12" s="1370"/>
      <c r="J12" s="1370"/>
      <c r="K12" s="1370"/>
      <c r="L12" s="1371"/>
      <c r="M12" s="1372"/>
      <c r="N12" s="1372"/>
      <c r="O12" s="544"/>
      <c r="P12" s="367"/>
      <c r="Q12" s="382"/>
      <c r="R12" s="362"/>
      <c r="S12" s="1285"/>
      <c r="T12" s="372" t="s">
        <v>576</v>
      </c>
      <c r="U12" s="374"/>
      <c r="V12" s="374"/>
      <c r="W12" s="374"/>
      <c r="X12" s="374"/>
      <c r="Y12" s="374"/>
      <c r="Z12" s="374"/>
      <c r="AA12" s="374"/>
      <c r="AB12" s="374"/>
      <c r="AC12" s="373"/>
      <c r="AD12" s="374"/>
      <c r="AE12" s="374"/>
      <c r="AF12" s="374"/>
      <c r="AG12" s="374"/>
      <c r="AH12" s="374"/>
      <c r="AI12" s="374"/>
      <c r="AJ12" s="374"/>
      <c r="AK12" s="373"/>
      <c r="AL12" s="374"/>
      <c r="AM12" s="310"/>
      <c r="AO12" s="507"/>
      <c r="AP12" s="507" t="str">
        <f>IF(T12="","",T12)</f>
        <v>Добавить схему подключения</v>
      </c>
      <c r="AQ12" s="507"/>
      <c r="AR12" s="507"/>
      <c r="AS12" s="1162">
        <v>0</v>
      </c>
    </row>
    <row s="1649" customFormat="1" customHeight="1" ht="0.7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0.7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0.7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AD17" s="1367"/>
      <c r="AE17" s="1367"/>
      <c r="AF17" s="1367"/>
      <c r="AG17" s="1368"/>
      <c r="AH17" s="2274"/>
      <c r="AI17" s="2275" t="s">
        <v>66</v>
      </c>
      <c r="AJ17" s="2274"/>
      <c r="AK17" s="2275" t="s">
        <v>66</v>
      </c>
      <c r="AS17" s="1162">
        <v>0</v>
      </c>
    </row>
    <row customHeight="1" ht="14.25" hidden="1">
      <c r="AD18" s="1367"/>
      <c r="AE18" s="1367"/>
      <c r="AF18" s="1367"/>
      <c r="AG18" s="335" t="str">
        <f>AH17&amp;"-"&amp;AJ17</f>
        <v>-</v>
      </c>
      <c r="AH18" s="2275"/>
      <c r="AI18" s="2275"/>
      <c r="AJ18" s="2275"/>
      <c r="AK18" s="2275"/>
      <c r="AS18" s="1162">
        <v>0</v>
      </c>
    </row>
    <row customHeight="1" ht="14.25" hidden="1">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33.7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AS23" s="1162">
        <v>0</v>
      </c>
    </row>
    <row customHeight="1" ht="14.25" hidden="1">
      <c r="O24" s="1371"/>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29.25">
      <c r="Q26" s="383"/>
      <c r="R26" s="383"/>
      <c r="S26" s="2255"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5"/>
      <c r="U26" s="2255"/>
      <c r="V26" s="2255"/>
      <c r="W26" s="2255"/>
      <c r="X26" s="2255"/>
      <c r="Y26" s="2255"/>
      <c r="Z26" s="2255"/>
      <c r="AA26" s="2255"/>
      <c r="AB26" s="2255"/>
      <c r="AC26" s="2255"/>
      <c r="AD26" s="2255"/>
      <c r="AE26" s="2255"/>
      <c r="AF26" s="2255"/>
      <c r="AG26" s="2255"/>
      <c r="AH26" s="2255"/>
      <c r="AI26" s="2255"/>
      <c r="AJ26" s="2255"/>
      <c r="AK26" s="1250"/>
      <c r="AS26" s="1162">
        <v>28</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18.7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347"/>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98"/>
      <c r="Y39" s="2298"/>
      <c r="Z39" s="2282"/>
      <c r="AA39" s="2282"/>
      <c r="AB39" s="2283"/>
      <c r="AC39" s="2284" t="s">
        <v>591</v>
      </c>
      <c r="AD39" s="2281" t="s">
        <v>590</v>
      </c>
      <c r="AE39" s="2282"/>
      <c r="AF39" s="2298"/>
      <c r="AG39" s="2298"/>
      <c r="AH39" s="2282"/>
      <c r="AI39" s="2282"/>
      <c r="AJ39" s="2283"/>
      <c r="AK39" s="2284" t="s">
        <v>592</v>
      </c>
      <c r="AL39" s="2287" t="s">
        <v>593</v>
      </c>
      <c r="AM39" s="2134"/>
      <c r="AS39" s="1162">
        <v>14</v>
      </c>
    </row>
    <row customHeight="1" ht="24">
      <c r="Q40" s="383"/>
      <c r="R40" s="383"/>
      <c r="S40" s="2280"/>
      <c r="T40" s="2216"/>
      <c r="U40" s="1038"/>
      <c r="V40" s="2299" t="s">
        <v>594</v>
      </c>
      <c r="W40" s="2301" t="s">
        <v>595</v>
      </c>
      <c r="X40" s="1383" t="s">
        <v>596</v>
      </c>
      <c r="Y40" s="1383"/>
      <c r="Z40" s="2276" t="s">
        <v>597</v>
      </c>
      <c r="AA40" s="2276"/>
      <c r="AB40" s="2270"/>
      <c r="AC40" s="2285"/>
      <c r="AD40" s="2299" t="s">
        <v>594</v>
      </c>
      <c r="AE40" s="2301" t="s">
        <v>595</v>
      </c>
      <c r="AF40" s="1383" t="s">
        <v>596</v>
      </c>
      <c r="AG40" s="1383"/>
      <c r="AH40" s="2276" t="s">
        <v>597</v>
      </c>
      <c r="AI40" s="2276"/>
      <c r="AJ40" s="2270"/>
      <c r="AK40" s="2285"/>
      <c r="AL40" s="2288"/>
      <c r="AM40" s="2134"/>
      <c r="AS40" s="1162">
        <v>23</v>
      </c>
    </row>
    <row s="1273" customFormat="1" customHeight="1" ht="24">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M41" s="1369"/>
      <c r="N41" s="1369"/>
      <c r="O41" s="1369"/>
      <c r="P41" s="1335"/>
      <c r="Q41" s="383"/>
      <c r="R41" s="383"/>
      <c r="S41" s="2280"/>
      <c r="T41" s="2216"/>
      <c r="U41" s="309"/>
      <c r="V41" s="2300"/>
      <c r="W41" s="2302"/>
      <c r="X41" s="1380" t="s">
        <v>605</v>
      </c>
      <c r="Y41" s="1380" t="s">
        <v>606</v>
      </c>
      <c r="Z41" s="1341" t="s">
        <v>607</v>
      </c>
      <c r="AA41" s="2277" t="s">
        <v>608</v>
      </c>
      <c r="AB41" s="2278"/>
      <c r="AC41" s="2286"/>
      <c r="AD41" s="2300"/>
      <c r="AE41" s="2302"/>
      <c r="AF41" s="1380" t="s">
        <v>605</v>
      </c>
      <c r="AG41" s="1380" t="s">
        <v>606</v>
      </c>
      <c r="AH41" s="1341" t="s">
        <v>607</v>
      </c>
      <c r="AI41" s="2277" t="s">
        <v>608</v>
      </c>
      <c r="AJ41" s="2278"/>
      <c r="AK41" s="2286"/>
      <c r="AL41" s="2289"/>
      <c r="AM41" s="2134"/>
      <c r="AN41" s="518"/>
      <c r="AO41" s="507"/>
      <c r="AP41" s="507"/>
      <c r="AQ41" s="507"/>
      <c r="AR41" s="507"/>
      <c r="AS41" s="589">
        <v>23</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342">
        <f>OFFSET(V42,0,-1)+1</f>
        <v>3</v>
      </c>
      <c r="W42" s="1342"/>
      <c r="X42" s="1348">
        <f>OFFSET(X42,0,-1)+1</f>
        <v>1</v>
      </c>
      <c r="Y42" s="1348">
        <f>OFFSET(Y42,0,-1)+1</f>
        <v>2</v>
      </c>
      <c r="Z42" s="1342">
        <f>OFFSET(Z42,0,-1)+1</f>
        <v>3</v>
      </c>
      <c r="AA42" s="2279">
        <f>OFFSET(AA42,0,-1)+1</f>
        <v>4</v>
      </c>
      <c r="AB42" s="2279"/>
      <c r="AC42" s="1342">
        <f>OFFSET(AC42,0,-2)+1</f>
        <v>5</v>
      </c>
      <c r="AD42" s="1342">
        <f>OFFSET(AD42,0,-1)+1</f>
        <v>6</v>
      </c>
      <c r="AE42" s="1342"/>
      <c r="AF42" s="1348">
        <f>OFFSET(AF42,0,-1)+1</f>
        <v>1</v>
      </c>
      <c r="AG42" s="1348">
        <f>OFFSET(AG42,0,-1)+1</f>
        <v>2</v>
      </c>
      <c r="AH42" s="1342">
        <f>OFFSET(AH42,0,-1)+1</f>
        <v>3</v>
      </c>
      <c r="AI42" s="2279">
        <f>OFFSET(AI42,0,-1)+1</f>
        <v>4</v>
      </c>
      <c r="AJ42" s="2279"/>
      <c r="AK42" s="1342">
        <f>OFFSET(AK42,0,-2)+1</f>
        <v>5</v>
      </c>
      <c r="AL42" s="1252">
        <f>OFFSET(AL42,0,-1)</f>
        <v>5</v>
      </c>
      <c r="AM42" s="1342">
        <f>OFFSET(AM42,0,-1)+1</f>
        <v>6</v>
      </c>
      <c r="AN42" s="518"/>
      <c r="AO42" s="518"/>
      <c r="AP42" s="518"/>
      <c r="AQ42" s="518"/>
      <c r="AR42" s="518"/>
      <c r="AS42" s="503">
        <v>0</v>
      </c>
    </row>
    <row customHeight="1" ht="22.049999999999997">
      <c r="A43" s="1370" t="s">
        <v>278</v>
      </c>
      <c r="B43" s="1370"/>
      <c r="C43" s="1370"/>
      <c r="D43" s="1370"/>
      <c r="E43" s="2265">
        <v>1</v>
      </c>
      <c r="F43" s="1370"/>
      <c r="G43" s="1370"/>
      <c r="H43" s="1370"/>
      <c r="I43" s="1370"/>
      <c r="J43" s="1370"/>
      <c r="K43" s="1370"/>
      <c r="L43" s="1371"/>
      <c r="M43" s="1372"/>
      <c r="N43" s="1372"/>
      <c r="O43" s="1372"/>
      <c r="P43" s="368"/>
      <c r="Q43" s="367"/>
      <c r="R43" s="362"/>
      <c r="S43" s="1343">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21</v>
      </c>
    </row>
    <row customHeight="1" ht="22.049999999999997">
      <c r="A44" s="1370" t="s">
        <v>278</v>
      </c>
      <c r="B44" s="1370" t="s">
        <v>279</v>
      </c>
      <c r="C44" s="1370"/>
      <c r="D44" s="1370"/>
      <c r="E44" s="2266"/>
      <c r="F44" s="2265">
        <v>1</v>
      </c>
      <c r="G44" s="1370"/>
      <c r="H44" s="1370"/>
      <c r="I44" s="1370"/>
      <c r="J44" s="1370"/>
      <c r="K44" s="1370"/>
      <c r="L44" s="1371"/>
      <c r="M44" s="1372"/>
      <c r="N44" s="1372"/>
      <c r="O44" s="1372"/>
      <c r="P44" s="1339"/>
      <c r="Q44" s="359"/>
      <c r="R44" s="360"/>
      <c r="S44" s="1343"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21</v>
      </c>
    </row>
    <row customHeight="1" ht="24">
      <c r="A45" s="1370" t="s">
        <v>278</v>
      </c>
      <c r="B45" s="1370" t="s">
        <v>279</v>
      </c>
      <c r="C45" s="1370" t="s">
        <v>280</v>
      </c>
      <c r="D45" s="1370"/>
      <c r="E45" s="2266"/>
      <c r="F45" s="2266"/>
      <c r="G45" s="2265">
        <v>1</v>
      </c>
      <c r="H45" s="1370"/>
      <c r="I45" s="1370"/>
      <c r="J45" s="1370"/>
      <c r="K45" s="1370"/>
      <c r="L45" s="1371"/>
      <c r="M45" s="1372"/>
      <c r="N45" s="1372"/>
      <c r="O45" s="1372"/>
      <c r="P45" s="361"/>
      <c r="Q45" s="359"/>
      <c r="R45" s="360"/>
      <c r="S45" s="1343"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2.049999999999997">
      <c r="A46" s="1370" t="s">
        <v>278</v>
      </c>
      <c r="B46" s="1370" t="s">
        <v>279</v>
      </c>
      <c r="C46" s="1370" t="s">
        <v>280</v>
      </c>
      <c r="D46" s="1370" t="s">
        <v>281</v>
      </c>
      <c r="E46" s="2266"/>
      <c r="F46" s="2266"/>
      <c r="G46" s="2266"/>
      <c r="H46" s="2265">
        <v>1</v>
      </c>
      <c r="I46" s="1370"/>
      <c r="J46" s="1370"/>
      <c r="K46" s="1370"/>
      <c r="L46" s="1371"/>
      <c r="M46" s="1372"/>
      <c r="N46" s="1372"/>
      <c r="O46" s="1372"/>
      <c r="P46" s="361"/>
      <c r="Q46" s="359"/>
      <c r="R46" s="360"/>
      <c r="S46" s="1343"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21</v>
      </c>
    </row>
    <row customHeight="1" ht="49.5">
      <c r="A47" s="1370" t="s">
        <v>278</v>
      </c>
      <c r="B47" s="1370" t="s">
        <v>279</v>
      </c>
      <c r="C47" s="1370" t="s">
        <v>280</v>
      </c>
      <c r="D47" s="1370" t="s">
        <v>281</v>
      </c>
      <c r="E47" s="2266"/>
      <c r="F47" s="2266"/>
      <c r="G47" s="2266"/>
      <c r="H47" s="2266"/>
      <c r="I47" s="2263" t="str">
        <f>S46&amp;".1"</f>
        <v>....1</v>
      </c>
      <c r="J47" s="1370"/>
      <c r="K47" s="1370"/>
      <c r="L47" s="1371" t="s">
        <v>566</v>
      </c>
      <c r="P47" s="2264">
        <v>1</v>
      </c>
      <c r="Q47" s="1338"/>
      <c r="R47" s="363"/>
      <c r="S47" s="1343" t="str">
        <f>$I47</f>
        <v>....1</v>
      </c>
      <c r="T47" s="292" t="s">
        <v>567</v>
      </c>
      <c r="U47" s="307"/>
      <c r="V47" s="2252"/>
      <c r="W47" s="2253"/>
      <c r="X47" s="2253"/>
      <c r="Y47" s="2253"/>
      <c r="Z47" s="2253"/>
      <c r="AA47" s="2253"/>
      <c r="AB47" s="2253"/>
      <c r="AC47" s="2254"/>
      <c r="AD47" s="2252"/>
      <c r="AE47" s="2253"/>
      <c r="AF47" s="2253"/>
      <c r="AG47" s="2253"/>
      <c r="AH47" s="2253"/>
      <c r="AI47" s="2253"/>
      <c r="AJ47" s="2253"/>
      <c r="AK47" s="2253"/>
      <c r="AL47" s="2254"/>
      <c r="AM47" s="1265" t="s">
        <v>568</v>
      </c>
      <c r="AO47" s="507"/>
      <c r="AP47" s="507" t="str">
        <f>IF(T47="","",T47)</f>
        <v>Схема подключения теплопотребляющей установки к коллектору источника тепловой энергии</v>
      </c>
      <c r="AQ47" s="507"/>
      <c r="AR47" s="507"/>
      <c r="AS47" s="1162">
        <v>47</v>
      </c>
    </row>
    <row customHeight="1" ht="22.049999999999997">
      <c r="A48" s="1370" t="s">
        <v>278</v>
      </c>
      <c r="B48" s="1370" t="s">
        <v>279</v>
      </c>
      <c r="C48" s="1370" t="s">
        <v>280</v>
      </c>
      <c r="D48" s="1370" t="s">
        <v>281</v>
      </c>
      <c r="E48" s="2266"/>
      <c r="F48" s="2266"/>
      <c r="G48" s="2266"/>
      <c r="H48" s="2266"/>
      <c r="I48" s="2293"/>
      <c r="J48" s="2263" t="str">
        <f>I47&amp;".1"</f>
        <v>....1.1</v>
      </c>
      <c r="K48" s="1370"/>
      <c r="L48" s="1371" t="s">
        <v>569</v>
      </c>
      <c r="P48" s="2264"/>
      <c r="Q48" s="2264">
        <v>1</v>
      </c>
      <c r="R48" s="364"/>
      <c r="S48" s="1343" t="str">
        <f>$J48</f>
        <v>....1.1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21</v>
      </c>
    </row>
    <row customHeight="1" ht="22.049999999999997">
      <c r="A49" s="1370" t="s">
        <v>278</v>
      </c>
      <c r="B49" s="1370" t="s">
        <v>279</v>
      </c>
      <c r="C49" s="1370" t="s">
        <v>280</v>
      </c>
      <c r="D49" s="1370" t="s">
        <v>281</v>
      </c>
      <c r="E49" s="2266"/>
      <c r="F49" s="2266"/>
      <c r="G49" s="2266"/>
      <c r="H49" s="2266"/>
      <c r="I49" s="2293"/>
      <c r="J49" s="2293"/>
      <c r="K49" s="2263" t="str">
        <f>J48&amp;".1"</f>
        <v>....1.1.1</v>
      </c>
      <c r="L49" s="1371" t="s">
        <v>572</v>
      </c>
      <c r="P49" s="2264"/>
      <c r="Q49" s="2264"/>
      <c r="R49" s="364">
        <v>1</v>
      </c>
      <c r="S49" s="1343" t="str">
        <f>$K49</f>
        <v>....1.1.1</v>
      </c>
      <c r="T49" s="1354"/>
      <c r="U49" s="307"/>
      <c r="V49" s="332"/>
      <c r="W49" s="758"/>
      <c r="X49" s="332"/>
      <c r="Y49" s="391"/>
      <c r="Z49" s="2272"/>
      <c r="AA49" s="2114" t="s">
        <v>66</v>
      </c>
      <c r="AB49" s="2272"/>
      <c r="AC49" s="2114" t="s">
        <v>66</v>
      </c>
      <c r="AD49" s="332"/>
      <c r="AE49" s="758"/>
      <c r="AF49" s="332"/>
      <c r="AG49" s="391"/>
      <c r="AH49" s="2272"/>
      <c r="AI49" s="2114" t="s">
        <v>66</v>
      </c>
      <c r="AJ49" s="2294"/>
      <c r="AK49" s="2114" t="s">
        <v>66</v>
      </c>
      <c r="AL49" s="1355"/>
      <c r="AM49" s="2260" t="s">
        <v>573</v>
      </c>
      <c r="AN49" s="518">
        <f>STRCHECKDATE(V50:AL50)</f>
      </c>
      <c r="AO49" s="507"/>
      <c r="AP49" s="507" t="str">
        <f>IF(T49="","",T49)</f>
        <v/>
      </c>
      <c r="AQ49" s="507"/>
      <c r="AR49" s="507"/>
      <c r="AS49" s="1162">
        <v>21</v>
      </c>
    </row>
    <row customHeight="1" ht="1.05">
      <c r="A50" s="1370" t="s">
        <v>278</v>
      </c>
      <c r="B50" s="1370" t="s">
        <v>279</v>
      </c>
      <c r="C50" s="1370" t="s">
        <v>280</v>
      </c>
      <c r="D50" s="1370" t="s">
        <v>281</v>
      </c>
      <c r="E50" s="2266"/>
      <c r="F50" s="2266"/>
      <c r="G50" s="2266"/>
      <c r="H50" s="2266"/>
      <c r="I50" s="2293"/>
      <c r="J50" s="2293"/>
      <c r="K50" s="2263"/>
      <c r="L50" s="1371"/>
      <c r="P50" s="2264"/>
      <c r="Q50" s="2264"/>
      <c r="R50" s="364"/>
      <c r="S50" s="1349"/>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1</v>
      </c>
    </row>
    <row customHeight="1" ht="11.549999999999999">
      <c r="A51" s="1370" t="s">
        <v>278</v>
      </c>
      <c r="B51" s="1370" t="s">
        <v>279</v>
      </c>
      <c r="C51" s="1370" t="s">
        <v>280</v>
      </c>
      <c r="D51" s="1370" t="s">
        <v>281</v>
      </c>
      <c r="E51" s="2266"/>
      <c r="F51" s="2266"/>
      <c r="G51" s="2266"/>
      <c r="H51" s="2266"/>
      <c r="I51" s="2293"/>
      <c r="J51" s="2263"/>
      <c r="K51" s="1370"/>
      <c r="L51" s="1371"/>
      <c r="P51" s="2264"/>
      <c r="Q51" s="2264"/>
      <c r="R51" s="363"/>
      <c r="S51" s="1285"/>
      <c r="T51" s="295"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278</v>
      </c>
      <c r="B52" s="1370" t="s">
        <v>279</v>
      </c>
      <c r="C52" s="1370" t="s">
        <v>280</v>
      </c>
      <c r="D52" s="1370" t="s">
        <v>281</v>
      </c>
      <c r="E52" s="2266"/>
      <c r="F52" s="2266"/>
      <c r="G52" s="2266"/>
      <c r="H52" s="2266"/>
      <c r="I52" s="2263"/>
      <c r="J52" s="1370"/>
      <c r="K52" s="1370"/>
      <c r="L52" s="1371"/>
      <c r="P52" s="2264"/>
      <c r="Q52" s="1338"/>
      <c r="R52" s="363"/>
      <c r="S52" s="1285"/>
      <c r="T52" s="294"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14.699999999999998">
      <c r="A53" s="1370" t="s">
        <v>278</v>
      </c>
      <c r="B53" s="1370" t="s">
        <v>279</v>
      </c>
      <c r="C53" s="1370" t="s">
        <v>280</v>
      </c>
      <c r="D53" s="1370" t="s">
        <v>281</v>
      </c>
      <c r="E53" s="2266"/>
      <c r="F53" s="2266"/>
      <c r="G53" s="2266"/>
      <c r="H53" s="2265"/>
      <c r="I53" s="1370"/>
      <c r="J53" s="1370"/>
      <c r="K53" s="1370"/>
      <c r="L53" s="1371"/>
      <c r="M53" s="1372"/>
      <c r="N53" s="1372"/>
      <c r="O53" s="544"/>
      <c r="P53" s="367"/>
      <c r="Q53" s="382"/>
      <c r="R53" s="362"/>
      <c r="S53" s="1285"/>
      <c r="T53" s="372" t="s">
        <v>576</v>
      </c>
      <c r="U53" s="374"/>
      <c r="V53" s="374"/>
      <c r="W53" s="374"/>
      <c r="X53" s="374"/>
      <c r="Y53" s="374"/>
      <c r="Z53" s="374"/>
      <c r="AA53" s="374"/>
      <c r="AB53" s="374"/>
      <c r="AC53" s="373"/>
      <c r="AD53" s="374"/>
      <c r="AE53" s="374"/>
      <c r="AF53" s="374"/>
      <c r="AG53" s="374"/>
      <c r="AH53" s="374"/>
      <c r="AI53" s="374"/>
      <c r="AJ53" s="374"/>
      <c r="AK53" s="373"/>
      <c r="AL53" s="374"/>
      <c r="AM53" s="310"/>
      <c r="AO53" s="507"/>
      <c r="AP53" s="507" t="str">
        <f>IF(T53="","",T53)</f>
        <v>Добавить схему подключения</v>
      </c>
      <c r="AQ53" s="507"/>
      <c r="AR53" s="507"/>
      <c r="AS53" s="1162">
        <v>14</v>
      </c>
    </row>
    <row s="1649" customFormat="1" customHeight="1" ht="1.05">
      <c r="A54" s="1350" t="s">
        <v>278</v>
      </c>
      <c r="B54" s="1350" t="s">
        <v>279</v>
      </c>
      <c r="C54" s="1350" t="s">
        <v>280</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1</v>
      </c>
    </row>
    <row s="1649" customFormat="1" customHeight="1" ht="1.05">
      <c r="A55" s="1350" t="s">
        <v>278</v>
      </c>
      <c r="B55" s="1350" t="s">
        <v>279</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1</v>
      </c>
    </row>
    <row s="1649" customFormat="1" customHeight="1" ht="1.05">
      <c r="A56" s="1350" t="s">
        <v>278</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1</v>
      </c>
    </row>
    <row s="1649" customFormat="1" customHeight="1" ht="1.05">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1</v>
      </c>
    </row>
    <row customHeight="1" ht="11.549999999999999">
      <c r="M58" s="1167"/>
      <c r="N58" s="1167"/>
      <c r="O58" s="544"/>
      <c r="P58" s="1162"/>
      <c r="Q58" s="1162"/>
      <c r="R58" s="1162"/>
      <c r="S58" s="1162"/>
      <c r="AN58" s="1162"/>
      <c r="AO58" s="1162"/>
      <c r="AP58" s="1162"/>
      <c r="AQ58" s="1162"/>
      <c r="AR58" s="1162"/>
      <c r="AS58" s="1162">
        <v>11</v>
      </c>
    </row>
    <row customHeight="1" ht="28.5">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27</v>
      </c>
    </row>
    <row customHeight="1" ht="78.75">
      <c r="O60" s="544"/>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75</v>
      </c>
    </row>
    <row customHeight="1" ht="14.699999999999998">
      <c r="O61" s="544"/>
      <c r="AS61" s="1162">
        <v>14</v>
      </c>
    </row>
    <row customHeight="1" ht="18.75">
      <c r="O62" s="544"/>
      <c r="S62" s="1260"/>
      <c r="T62" s="2292"/>
      <c r="U62" s="2292"/>
      <c r="V62" s="2292"/>
      <c r="W62" s="2292"/>
      <c r="X62" s="2292"/>
      <c r="Y62" s="2292"/>
      <c r="Z62" s="2292"/>
      <c r="AA62" s="2292"/>
      <c r="AB62" s="2292"/>
      <c r="AC62" s="2292"/>
      <c r="AD62" s="2292"/>
      <c r="AE62" s="2292"/>
      <c r="AF62" s="2292"/>
      <c r="AG62" s="2292"/>
      <c r="AH62" s="2292"/>
      <c r="AI62" s="2292"/>
      <c r="AJ62" s="2292"/>
      <c r="AK62" s="2292"/>
      <c r="AL62" s="2292"/>
      <c r="AM62" s="2292"/>
      <c r="AS62" s="1162">
        <v>18</v>
      </c>
    </row>
    <row customHeight="1" ht="18.75">
      <c r="O63" s="544"/>
      <c r="T63" s="2292"/>
      <c r="U63" s="2292"/>
      <c r="V63" s="2292"/>
      <c r="W63" s="2292"/>
      <c r="X63" s="2292"/>
      <c r="Y63" s="2292"/>
      <c r="Z63" s="2292"/>
      <c r="AA63" s="2292"/>
      <c r="AB63" s="2292"/>
      <c r="AC63" s="2292"/>
      <c r="AD63" s="2292"/>
      <c r="AE63" s="2292"/>
      <c r="AF63" s="2292"/>
      <c r="AG63" s="2292"/>
      <c r="AH63" s="2292"/>
      <c r="AI63" s="2292"/>
      <c r="AJ63" s="2292"/>
      <c r="AK63" s="2292"/>
      <c r="AL63" s="2292"/>
      <c r="AM63" s="2292"/>
      <c r="AS63" s="1162">
        <v>18</v>
      </c>
    </row>
    <row customHeight="1" ht="39.75">
      <c r="O64" s="544"/>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38</v>
      </c>
    </row>
    <row customHeight="1" ht="22.5" hidden="1">
      <c r="A65" s="1167" t="s">
        <v>82</v>
      </c>
      <c r="B65" s="1167">
        <v>0</v>
      </c>
      <c r="C65" s="1167">
        <v>0</v>
      </c>
      <c r="D65" s="1167">
        <v>0</v>
      </c>
      <c r="E65" s="1167">
        <v>0</v>
      </c>
      <c r="F65" s="1167">
        <v>0</v>
      </c>
      <c r="G65" s="1167">
        <v>0</v>
      </c>
      <c r="H65" s="1167">
        <v>0</v>
      </c>
      <c r="I65" s="1167">
        <v>0</v>
      </c>
      <c r="J65" s="1167">
        <v>0</v>
      </c>
      <c r="K65" s="1167">
        <v>0</v>
      </c>
      <c r="L65" s="1336">
        <v>0</v>
      </c>
      <c r="M65" s="1369">
        <v>0</v>
      </c>
      <c r="N65" s="1369">
        <v>0</v>
      </c>
      <c r="O65" s="1369">
        <v>0</v>
      </c>
      <c r="P65" s="1335">
        <v>3</v>
      </c>
      <c r="Q65" s="351">
        <v>3</v>
      </c>
      <c r="R65" s="351">
        <v>3</v>
      </c>
      <c r="S65" s="588">
        <v>12</v>
      </c>
      <c r="T65" s="1162">
        <v>31</v>
      </c>
      <c r="U65" s="1162">
        <v>0</v>
      </c>
      <c r="V65" s="1162">
        <v>0</v>
      </c>
      <c r="W65" s="1162">
        <v>0</v>
      </c>
      <c r="X65" s="1162">
        <v>0</v>
      </c>
      <c r="Y65" s="1162">
        <v>0</v>
      </c>
      <c r="Z65" s="1162">
        <v>0</v>
      </c>
      <c r="AA65" s="1162">
        <v>0</v>
      </c>
      <c r="AB65" s="1162">
        <v>0</v>
      </c>
      <c r="AC65" s="1162">
        <v>0</v>
      </c>
      <c r="AD65" s="1162">
        <v>0</v>
      </c>
      <c r="AE65" s="1162">
        <v>24</v>
      </c>
      <c r="AF65" s="1162">
        <v>0</v>
      </c>
      <c r="AG65" s="1162">
        <v>0</v>
      </c>
      <c r="AH65" s="1162">
        <v>11</v>
      </c>
      <c r="AI65" s="1162">
        <v>3</v>
      </c>
      <c r="AJ65" s="1162">
        <v>11</v>
      </c>
      <c r="AK65" s="1162">
        <v>0</v>
      </c>
      <c r="AL65" s="1162">
        <v>4</v>
      </c>
      <c r="AM65" s="1162">
        <v>115</v>
      </c>
      <c r="AN65" s="518">
        <v>10</v>
      </c>
      <c r="AO65" s="518">
        <v>10</v>
      </c>
      <c r="AP65" s="518">
        <v>10</v>
      </c>
      <c r="AQ65" s="518">
        <v>10</v>
      </c>
      <c r="AR65" s="518">
        <v>10</v>
      </c>
      <c r="AS65" s="1162">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7F9E68-F9DE-DE82-DD88-A8A12E746C3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7109375" hidden="1"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8.421875" hidden="1" customWidth="1"/>
  </cols>
  <sheetData>
    <row customHeight="1" ht="22.5" hidden="1">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43">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39"/>
      <c r="Q3" s="359"/>
      <c r="R3" s="360"/>
      <c r="S3" s="1343">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1343">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360"/>
      <c r="S5" s="1343">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507"/>
      <c r="AP5" s="507" t="str">
        <f>IF(T5="","",T5)</f>
        <v>Источник тепловой энергии  </v>
      </c>
      <c r="AQ5" s="507"/>
      <c r="AR5" s="507"/>
      <c r="AS5" s="1162">
        <v>0</v>
      </c>
    </row>
    <row customHeight="1" ht="14.25" hidden="1">
      <c r="A6" s="1370"/>
      <c r="B6" s="1370"/>
      <c r="C6" s="1370"/>
      <c r="D6" s="1370"/>
      <c r="E6" s="2266"/>
      <c r="F6" s="2266"/>
      <c r="G6" s="2266"/>
      <c r="H6" s="2266"/>
      <c r="I6" s="2263">
        <f>S5&amp;".1"</f>
      </c>
      <c r="J6" s="1370"/>
      <c r="K6" s="1370"/>
      <c r="L6" s="1371" t="s">
        <v>566</v>
      </c>
      <c r="M6" s="544"/>
      <c r="P6" s="2264">
        <v>1</v>
      </c>
      <c r="Q6" s="1338"/>
      <c r="R6" s="363"/>
      <c r="S6" s="1049"/>
      <c r="T6" s="1390"/>
      <c r="U6" s="1391"/>
      <c r="V6" s="2303"/>
      <c r="W6" s="2304"/>
      <c r="X6" s="2304"/>
      <c r="Y6" s="2304"/>
      <c r="Z6" s="2304"/>
      <c r="AA6" s="2304"/>
      <c r="AB6" s="2304"/>
      <c r="AC6" s="2305"/>
      <c r="AD6" s="2303"/>
      <c r="AE6" s="2304"/>
      <c r="AF6" s="2304"/>
      <c r="AG6" s="2304"/>
      <c r="AH6" s="2304"/>
      <c r="AI6" s="2304"/>
      <c r="AJ6" s="2304"/>
      <c r="AK6" s="2304"/>
      <c r="AL6" s="2305"/>
      <c r="AM6" s="1392"/>
      <c r="AO6" s="507"/>
      <c r="AP6" s="507" t="str">
        <f>IF(T6="","",T6)</f>
        <v/>
      </c>
      <c r="AQ6" s="507"/>
      <c r="AR6" s="507"/>
      <c r="AS6" s="1162">
        <v>0</v>
      </c>
    </row>
    <row customHeight="1" ht="21" hidden="1">
      <c r="A7" s="1370"/>
      <c r="B7" s="1370"/>
      <c r="C7" s="1370"/>
      <c r="D7" s="1370"/>
      <c r="E7" s="2266"/>
      <c r="F7" s="2266"/>
      <c r="G7" s="2266"/>
      <c r="H7" s="2266"/>
      <c r="I7" s="2293"/>
      <c r="J7" s="2263">
        <f>I6&amp;".1"</f>
      </c>
      <c r="K7" s="1370"/>
      <c r="L7" s="1371" t="s">
        <v>569</v>
      </c>
      <c r="M7" s="544"/>
      <c r="N7" s="1373"/>
      <c r="P7" s="2264"/>
      <c r="Q7" s="2264">
        <v>1</v>
      </c>
      <c r="R7" s="364"/>
      <c r="S7" s="1343">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507"/>
      <c r="AP7" s="507" t="str">
        <f>IF(T7="","",T7)</f>
        <v>Группа потребителей</v>
      </c>
      <c r="AQ7" s="507"/>
      <c r="AR7" s="507"/>
      <c r="AS7" s="1162">
        <v>0</v>
      </c>
    </row>
    <row customHeight="1" ht="21" hidden="1">
      <c r="A8" s="1370"/>
      <c r="B8" s="1370"/>
      <c r="C8" s="1370"/>
      <c r="D8" s="1370"/>
      <c r="E8" s="2266"/>
      <c r="F8" s="2266"/>
      <c r="G8" s="2266"/>
      <c r="H8" s="2266"/>
      <c r="I8" s="2293"/>
      <c r="J8" s="2293"/>
      <c r="K8" s="2263">
        <f>J7&amp;".1"</f>
      </c>
      <c r="L8" s="1371" t="s">
        <v>572</v>
      </c>
      <c r="M8" s="544"/>
      <c r="N8" s="1373"/>
      <c r="O8" s="1373"/>
      <c r="P8" s="2264"/>
      <c r="Q8" s="2264"/>
      <c r="R8" s="364">
        <v>1</v>
      </c>
      <c r="S8" s="1343">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518">
        <f>STRCHECKDATE(V9:AL9)</f>
      </c>
      <c r="AO8" s="507"/>
      <c r="AP8" s="507" t="str">
        <f>IF(T8="","",T8)</f>
        <v/>
      </c>
      <c r="AQ8" s="507"/>
      <c r="AR8" s="507"/>
      <c r="AS8" s="1162">
        <v>0</v>
      </c>
    </row>
    <row customHeight="1" ht="0.75" hidden="1">
      <c r="A9" s="1370"/>
      <c r="B9" s="1370"/>
      <c r="C9" s="1370"/>
      <c r="D9" s="1370"/>
      <c r="E9" s="2266"/>
      <c r="F9" s="2266"/>
      <c r="G9" s="2266"/>
      <c r="H9" s="2266"/>
      <c r="I9" s="2293"/>
      <c r="J9" s="2293"/>
      <c r="K9" s="2263"/>
      <c r="L9" s="1371"/>
      <c r="M9" s="544"/>
      <c r="N9" s="1373"/>
      <c r="O9" s="1373"/>
      <c r="P9" s="2264"/>
      <c r="Q9" s="2264"/>
      <c r="R9" s="364"/>
      <c r="S9" s="1349"/>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5" hidden="1">
      <c r="A10" s="1370"/>
      <c r="B10" s="1370"/>
      <c r="C10" s="1370"/>
      <c r="D10" s="1370"/>
      <c r="E10" s="2266"/>
      <c r="F10" s="2266"/>
      <c r="G10" s="2266"/>
      <c r="H10" s="2266"/>
      <c r="I10" s="2293"/>
      <c r="J10" s="2263"/>
      <c r="K10" s="1370"/>
      <c r="L10" s="1371"/>
      <c r="M10" s="544"/>
      <c r="N10" s="1373"/>
      <c r="P10" s="2264"/>
      <c r="Q10" s="2264"/>
      <c r="R10" s="363"/>
      <c r="S10" s="1285"/>
      <c r="T10" s="294"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5" hidden="1">
      <c r="A11" s="1370"/>
      <c r="B11" s="1370"/>
      <c r="C11" s="1370"/>
      <c r="D11" s="1370"/>
      <c r="E11" s="2266"/>
      <c r="F11" s="2266"/>
      <c r="G11" s="2266"/>
      <c r="H11" s="2266"/>
      <c r="I11" s="2263"/>
      <c r="J11" s="1370"/>
      <c r="K11" s="1370"/>
      <c r="L11" s="1371"/>
      <c r="M11" s="544"/>
      <c r="P11" s="2264"/>
      <c r="Q11" s="1338"/>
      <c r="R11" s="363"/>
      <c r="S11" s="1285"/>
      <c r="T11" s="372"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14.25" hidden="1">
      <c r="A12" s="1370"/>
      <c r="B12" s="1370"/>
      <c r="C12" s="1370"/>
      <c r="D12" s="1370"/>
      <c r="E12" s="2266"/>
      <c r="F12" s="2266"/>
      <c r="G12" s="2266"/>
      <c r="H12" s="2265"/>
      <c r="I12" s="1370"/>
      <c r="J12" s="1370"/>
      <c r="K12" s="1370"/>
      <c r="L12" s="1371"/>
      <c r="M12" s="1372"/>
      <c r="N12" s="1372"/>
      <c r="O12" s="544"/>
      <c r="P12" s="367"/>
      <c r="Q12" s="382"/>
      <c r="R12" s="362"/>
      <c r="S12" s="1393"/>
      <c r="T12" s="1394"/>
      <c r="U12" s="1395"/>
      <c r="V12" s="1395"/>
      <c r="W12" s="1395"/>
      <c r="X12" s="1395"/>
      <c r="Y12" s="1395"/>
      <c r="Z12" s="1395"/>
      <c r="AA12" s="1395"/>
      <c r="AB12" s="1395"/>
      <c r="AC12" s="1395"/>
      <c r="AD12" s="1395"/>
      <c r="AE12" s="1395"/>
      <c r="AF12" s="1395"/>
      <c r="AG12" s="1395"/>
      <c r="AH12" s="1395"/>
      <c r="AI12" s="1395"/>
      <c r="AJ12" s="1395"/>
      <c r="AK12" s="1395"/>
      <c r="AL12" s="1395"/>
      <c r="AM12" s="1396"/>
      <c r="AO12" s="507"/>
      <c r="AP12" s="507" t="str">
        <f>IF(T12="","",T12)</f>
        <v/>
      </c>
      <c r="AQ12" s="507"/>
      <c r="AR12" s="507"/>
      <c r="AS12" s="1162">
        <v>0</v>
      </c>
    </row>
    <row s="1649" customFormat="1" customHeight="1" ht="0.7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0.7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0.7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AD17" s="1367"/>
      <c r="AE17" s="1367"/>
      <c r="AF17" s="1367"/>
      <c r="AG17" s="1368"/>
      <c r="AH17" s="2274"/>
      <c r="AI17" s="2275" t="s">
        <v>66</v>
      </c>
      <c r="AJ17" s="2274"/>
      <c r="AK17" s="2275" t="s">
        <v>66</v>
      </c>
      <c r="AS17" s="1162">
        <v>0</v>
      </c>
    </row>
    <row customHeight="1" ht="14.25" hidden="1">
      <c r="AD18" s="1367"/>
      <c r="AE18" s="1367"/>
      <c r="AF18" s="1367"/>
      <c r="AG18" s="335" t="str">
        <f>AH17&amp;"-"&amp;AJ17</f>
        <v>-</v>
      </c>
      <c r="AH18" s="2275"/>
      <c r="AI18" s="2275"/>
      <c r="AJ18" s="2275"/>
      <c r="AK18" s="2275"/>
      <c r="AS18" s="1162">
        <v>0</v>
      </c>
    </row>
    <row customHeight="1" ht="14.25" hidden="1">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14.2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AS23" s="1162">
        <v>0</v>
      </c>
    </row>
    <row customHeight="1" ht="14.25" hidden="1">
      <c r="O24" s="1371"/>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63">
      <c r="Q26" s="383"/>
      <c r="R26" s="383"/>
      <c r="S26" s="225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5"/>
      <c r="U26" s="2255"/>
      <c r="V26" s="2255"/>
      <c r="W26" s="2255"/>
      <c r="X26" s="2255"/>
      <c r="Y26" s="2255"/>
      <c r="Z26" s="2255"/>
      <c r="AA26" s="2255"/>
      <c r="AB26" s="2255"/>
      <c r="AC26" s="2255"/>
      <c r="AD26" s="2255"/>
      <c r="AE26" s="2255"/>
      <c r="AF26" s="2255"/>
      <c r="AG26" s="2255"/>
      <c r="AH26" s="2255"/>
      <c r="AI26" s="2255"/>
      <c r="AJ26" s="2255"/>
      <c r="AK26" s="1250"/>
      <c r="AS26" s="1162">
        <v>60</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18.7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347"/>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162">
        <v>14</v>
      </c>
    </row>
    <row customHeight="1" ht="35.699999999999996">
      <c r="Q40" s="383"/>
      <c r="R40" s="383"/>
      <c r="S40" s="2280"/>
      <c r="T40" s="2216"/>
      <c r="U40" s="1038"/>
      <c r="V40" s="2267" t="s">
        <v>594</v>
      </c>
      <c r="W40" s="2290"/>
      <c r="X40" s="2269" t="s">
        <v>596</v>
      </c>
      <c r="Y40" s="2270"/>
      <c r="Z40" s="2269" t="s">
        <v>597</v>
      </c>
      <c r="AA40" s="2276"/>
      <c r="AB40" s="2270"/>
      <c r="AC40" s="2285"/>
      <c r="AD40" s="2267" t="s">
        <v>610</v>
      </c>
      <c r="AE40" s="2290"/>
      <c r="AF40" s="2269" t="s">
        <v>596</v>
      </c>
      <c r="AG40" s="2270"/>
      <c r="AH40" s="2269" t="s">
        <v>597</v>
      </c>
      <c r="AI40" s="2276"/>
      <c r="AJ40" s="2270"/>
      <c r="AK40" s="2285"/>
      <c r="AL40" s="2288"/>
      <c r="AM40" s="2134"/>
      <c r="AS40" s="1162">
        <v>34</v>
      </c>
    </row>
    <row customHeight="1" ht="35.699999999999996">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Q41" s="383"/>
      <c r="R41" s="383"/>
      <c r="S41" s="2280"/>
      <c r="T41" s="2216"/>
      <c r="U41" s="309"/>
      <c r="V41" s="2268"/>
      <c r="W41" s="2291"/>
      <c r="X41" s="1229" t="s">
        <v>605</v>
      </c>
      <c r="Y41" s="1229" t="s">
        <v>606</v>
      </c>
      <c r="Z41" s="1345" t="s">
        <v>607</v>
      </c>
      <c r="AA41" s="2277" t="s">
        <v>608</v>
      </c>
      <c r="AB41" s="2278"/>
      <c r="AC41" s="2286"/>
      <c r="AD41" s="2268"/>
      <c r="AE41" s="2291"/>
      <c r="AF41" s="1229" t="s">
        <v>605</v>
      </c>
      <c r="AG41" s="1229" t="s">
        <v>606</v>
      </c>
      <c r="AH41" s="1345" t="s">
        <v>607</v>
      </c>
      <c r="AI41" s="2277" t="s">
        <v>608</v>
      </c>
      <c r="AJ41" s="2278"/>
      <c r="AK41" s="2286"/>
      <c r="AL41" s="2289"/>
      <c r="AM41" s="2134"/>
      <c r="AS41" s="1162">
        <v>34</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342">
        <f>OFFSET(V42,0,-1)+1</f>
        <v>3</v>
      </c>
      <c r="W42" s="1342"/>
      <c r="X42" s="1342">
        <f>OFFSET(X42,0,-1)+1</f>
        <v>1</v>
      </c>
      <c r="Y42" s="1342">
        <f>OFFSET(Y42,0,-1)+1</f>
        <v>2</v>
      </c>
      <c r="Z42" s="1342">
        <f>OFFSET(Z42,0,-1)+1</f>
        <v>3</v>
      </c>
      <c r="AA42" s="2279">
        <f>OFFSET(AA42,0,-1)+1</f>
        <v>4</v>
      </c>
      <c r="AB42" s="2279"/>
      <c r="AC42" s="1342">
        <f>OFFSET(AC42,0,-2)+1</f>
        <v>5</v>
      </c>
      <c r="AD42" s="1342">
        <f>OFFSET(AD42,0,-1)+1</f>
        <v>6</v>
      </c>
      <c r="AE42" s="1342"/>
      <c r="AF42" s="1342">
        <f>OFFSET(AF42,0,-1)+1</f>
        <v>1</v>
      </c>
      <c r="AG42" s="1342">
        <f>OFFSET(AG42,0,-1)+1</f>
        <v>2</v>
      </c>
      <c r="AH42" s="1342">
        <f>OFFSET(AH42,0,-1)+1</f>
        <v>3</v>
      </c>
      <c r="AI42" s="2279">
        <f>OFFSET(AI42,0,-1)+1</f>
        <v>4</v>
      </c>
      <c r="AJ42" s="2279"/>
      <c r="AK42" s="1342">
        <f>OFFSET(AK42,0,-2)+1</f>
        <v>5</v>
      </c>
      <c r="AL42" s="1252">
        <f>OFFSET(AL42,0,-1)</f>
        <v>5</v>
      </c>
      <c r="AM42" s="1342">
        <f>OFFSET(AM42,0,-1)+1</f>
        <v>6</v>
      </c>
      <c r="AN42" s="518"/>
      <c r="AO42" s="518"/>
      <c r="AP42" s="518"/>
      <c r="AQ42" s="518"/>
      <c r="AR42" s="518"/>
      <c r="AS42" s="503">
        <v>0</v>
      </c>
    </row>
    <row customHeight="1" ht="22.049999999999997">
      <c r="A43" s="1370" t="s">
        <v>254</v>
      </c>
      <c r="B43" s="1370"/>
      <c r="C43" s="1370"/>
      <c r="D43" s="1370"/>
      <c r="E43" s="2265">
        <v>1</v>
      </c>
      <c r="F43" s="1370"/>
      <c r="G43" s="1370"/>
      <c r="H43" s="1370"/>
      <c r="I43" s="1370"/>
      <c r="J43" s="1370"/>
      <c r="K43" s="1370"/>
      <c r="L43" s="1371"/>
      <c r="M43" s="1372"/>
      <c r="N43" s="1372"/>
      <c r="O43" s="1372"/>
      <c r="P43" s="368"/>
      <c r="Q43" s="367"/>
      <c r="R43" s="362"/>
      <c r="S43" s="1343">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21</v>
      </c>
    </row>
    <row customHeight="1" ht="22.049999999999997">
      <c r="A44" s="1370" t="s">
        <v>254</v>
      </c>
      <c r="B44" s="1370" t="s">
        <v>255</v>
      </c>
      <c r="C44" s="1370"/>
      <c r="D44" s="1370"/>
      <c r="E44" s="2266"/>
      <c r="F44" s="2265">
        <v>1</v>
      </c>
      <c r="G44" s="1370"/>
      <c r="H44" s="1370"/>
      <c r="I44" s="1370"/>
      <c r="J44" s="1370"/>
      <c r="K44" s="1370"/>
      <c r="L44" s="1371"/>
      <c r="M44" s="1372"/>
      <c r="N44" s="1372"/>
      <c r="O44" s="1372"/>
      <c r="P44" s="1339"/>
      <c r="Q44" s="359"/>
      <c r="R44" s="360"/>
      <c r="S44" s="1343"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21</v>
      </c>
    </row>
    <row customHeight="1" ht="24">
      <c r="A45" s="1370" t="s">
        <v>254</v>
      </c>
      <c r="B45" s="1370" t="s">
        <v>255</v>
      </c>
      <c r="C45" s="1370" t="s">
        <v>256</v>
      </c>
      <c r="D45" s="1370"/>
      <c r="E45" s="2266"/>
      <c r="F45" s="2266"/>
      <c r="G45" s="2265">
        <v>1</v>
      </c>
      <c r="H45" s="1370"/>
      <c r="I45" s="1370"/>
      <c r="J45" s="1370"/>
      <c r="K45" s="1370"/>
      <c r="L45" s="1371"/>
      <c r="M45" s="1372"/>
      <c r="N45" s="1372"/>
      <c r="O45" s="1372"/>
      <c r="P45" s="361"/>
      <c r="Q45" s="359"/>
      <c r="R45" s="360"/>
      <c r="S45" s="1343"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2.049999999999997">
      <c r="A46" s="1370" t="s">
        <v>254</v>
      </c>
      <c r="B46" s="1370" t="s">
        <v>255</v>
      </c>
      <c r="C46" s="1370" t="s">
        <v>256</v>
      </c>
      <c r="D46" s="1370" t="s">
        <v>257</v>
      </c>
      <c r="E46" s="2266"/>
      <c r="F46" s="2266"/>
      <c r="G46" s="2266"/>
      <c r="H46" s="2265">
        <v>1</v>
      </c>
      <c r="I46" s="1370"/>
      <c r="J46" s="1370"/>
      <c r="K46" s="1370"/>
      <c r="L46" s="1371"/>
      <c r="M46" s="1372"/>
      <c r="N46" s="1372"/>
      <c r="O46" s="1372"/>
      <c r="P46" s="361"/>
      <c r="Q46" s="359"/>
      <c r="R46" s="360"/>
      <c r="S46" s="1343"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21</v>
      </c>
    </row>
    <row s="1649" customFormat="1" customHeight="1" ht="0">
      <c r="A47" s="1350" t="s">
        <v>254</v>
      </c>
      <c r="B47" s="1350" t="s">
        <v>255</v>
      </c>
      <c r="C47" s="1350" t="s">
        <v>256</v>
      </c>
      <c r="D47" s="1350" t="s">
        <v>257</v>
      </c>
      <c r="E47" s="2266"/>
      <c r="F47" s="2266"/>
      <c r="G47" s="2266"/>
      <c r="H47" s="2266"/>
      <c r="I47" s="2263" t="str">
        <f>S46&amp;".1"</f>
        <v>....1</v>
      </c>
      <c r="J47" s="1350"/>
      <c r="K47" s="1350"/>
      <c r="L47" s="1353" t="s">
        <v>566</v>
      </c>
      <c r="M47" s="517"/>
      <c r="N47" s="517"/>
      <c r="O47" s="517"/>
      <c r="P47" s="2264">
        <v>1</v>
      </c>
      <c r="Q47" s="1338"/>
      <c r="R47" s="363"/>
      <c r="S47" s="1049"/>
      <c r="T47" s="1390"/>
      <c r="U47" s="1391"/>
      <c r="V47" s="2303"/>
      <c r="W47" s="2304"/>
      <c r="X47" s="2304"/>
      <c r="Y47" s="2304"/>
      <c r="Z47" s="2304"/>
      <c r="AA47" s="2304"/>
      <c r="AB47" s="2304"/>
      <c r="AC47" s="2305"/>
      <c r="AD47" s="2303"/>
      <c r="AE47" s="2304"/>
      <c r="AF47" s="2304"/>
      <c r="AG47" s="2304"/>
      <c r="AH47" s="2304"/>
      <c r="AI47" s="2304"/>
      <c r="AJ47" s="2304"/>
      <c r="AK47" s="2304"/>
      <c r="AL47" s="2305"/>
      <c r="AM47" s="1392"/>
      <c r="AO47" s="507"/>
      <c r="AP47" s="507" t="str">
        <f>IF(T47="","",T47)</f>
        <v/>
      </c>
      <c r="AQ47" s="507"/>
      <c r="AR47" s="507"/>
      <c r="AS47" s="518">
        <v>0</v>
      </c>
    </row>
    <row customHeight="1" ht="22.049999999999997">
      <c r="A48" s="1370" t="s">
        <v>254</v>
      </c>
      <c r="B48" s="1370" t="s">
        <v>255</v>
      </c>
      <c r="C48" s="1370" t="s">
        <v>256</v>
      </c>
      <c r="D48" s="1370" t="s">
        <v>257</v>
      </c>
      <c r="E48" s="2266"/>
      <c r="F48" s="2266"/>
      <c r="G48" s="2266"/>
      <c r="H48" s="2266"/>
      <c r="I48" s="2293"/>
      <c r="J48" s="2263" t="str">
        <f>S46&amp;".1"</f>
        <v>....1</v>
      </c>
      <c r="K48" s="1370"/>
      <c r="L48" s="1371" t="s">
        <v>569</v>
      </c>
      <c r="P48" s="2264"/>
      <c r="Q48" s="2264">
        <v>1</v>
      </c>
      <c r="R48" s="364"/>
      <c r="S48" s="1343" t="str">
        <f>$J48</f>
        <v>....1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21</v>
      </c>
    </row>
    <row customHeight="1" ht="22.049999999999997">
      <c r="A49" s="1370" t="s">
        <v>254</v>
      </c>
      <c r="B49" s="1370" t="s">
        <v>255</v>
      </c>
      <c r="C49" s="1370" t="s">
        <v>256</v>
      </c>
      <c r="D49" s="1370" t="s">
        <v>257</v>
      </c>
      <c r="E49" s="2266"/>
      <c r="F49" s="2266"/>
      <c r="G49" s="2266"/>
      <c r="H49" s="2266"/>
      <c r="I49" s="2293"/>
      <c r="J49" s="2293"/>
      <c r="K49" s="2263" t="str">
        <f>J48&amp;".1"</f>
        <v>....1.1</v>
      </c>
      <c r="L49" s="1371" t="s">
        <v>572</v>
      </c>
      <c r="P49" s="2264"/>
      <c r="Q49" s="2264"/>
      <c r="R49" s="364">
        <v>1</v>
      </c>
      <c r="S49" s="1343" t="str">
        <f>$K49</f>
        <v>....1.1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611</v>
      </c>
      <c r="AN49" s="518">
        <f>STRCHECKDATE(V50:AL50)</f>
      </c>
      <c r="AO49" s="507"/>
      <c r="AP49" s="507" t="str">
        <f>IF(T49="","",T49)</f>
        <v/>
      </c>
      <c r="AQ49" s="507"/>
      <c r="AR49" s="507"/>
      <c r="AS49" s="1162">
        <v>21</v>
      </c>
    </row>
    <row customHeight="1" ht="1.05">
      <c r="A50" s="1370" t="s">
        <v>254</v>
      </c>
      <c r="B50" s="1370" t="s">
        <v>255</v>
      </c>
      <c r="C50" s="1370" t="s">
        <v>256</v>
      </c>
      <c r="D50" s="1370" t="s">
        <v>257</v>
      </c>
      <c r="E50" s="2266"/>
      <c r="F50" s="2266"/>
      <c r="G50" s="2266"/>
      <c r="H50" s="2266"/>
      <c r="I50" s="2293"/>
      <c r="J50" s="2293"/>
      <c r="K50" s="2263"/>
      <c r="L50" s="1371"/>
      <c r="P50" s="2264"/>
      <c r="Q50" s="2264"/>
      <c r="R50" s="364"/>
      <c r="S50" s="1349"/>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1</v>
      </c>
    </row>
    <row customHeight="1" ht="11.549999999999999">
      <c r="A51" s="1370" t="s">
        <v>254</v>
      </c>
      <c r="B51" s="1370" t="s">
        <v>255</v>
      </c>
      <c r="C51" s="1370" t="s">
        <v>256</v>
      </c>
      <c r="D51" s="1370" t="s">
        <v>257</v>
      </c>
      <c r="E51" s="2266"/>
      <c r="F51" s="2266"/>
      <c r="G51" s="2266"/>
      <c r="H51" s="2266"/>
      <c r="I51" s="2293"/>
      <c r="J51" s="2263"/>
      <c r="K51" s="1370"/>
      <c r="L51" s="1371"/>
      <c r="P51" s="2264"/>
      <c r="Q51" s="2264"/>
      <c r="R51" s="363"/>
      <c r="S51" s="1285"/>
      <c r="T51" s="294"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254</v>
      </c>
      <c r="B52" s="1370" t="s">
        <v>255</v>
      </c>
      <c r="C52" s="1370" t="s">
        <v>256</v>
      </c>
      <c r="D52" s="1370" t="s">
        <v>257</v>
      </c>
      <c r="E52" s="2266"/>
      <c r="F52" s="2266"/>
      <c r="G52" s="2266"/>
      <c r="H52" s="2266"/>
      <c r="I52" s="2263"/>
      <c r="J52" s="1370"/>
      <c r="K52" s="1370"/>
      <c r="L52" s="1371"/>
      <c r="P52" s="2264"/>
      <c r="Q52" s="1338"/>
      <c r="R52" s="363"/>
      <c r="S52" s="1285"/>
      <c r="T52" s="372"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0">
      <c r="A53" s="1370" t="s">
        <v>254</v>
      </c>
      <c r="B53" s="1370" t="s">
        <v>255</v>
      </c>
      <c r="C53" s="1370" t="s">
        <v>256</v>
      </c>
      <c r="D53" s="1370" t="s">
        <v>257</v>
      </c>
      <c r="E53" s="2266"/>
      <c r="F53" s="2266"/>
      <c r="G53" s="2266"/>
      <c r="H53" s="2265"/>
      <c r="I53" s="1370"/>
      <c r="J53" s="1370"/>
      <c r="K53" s="1370"/>
      <c r="L53" s="1371"/>
      <c r="M53" s="1372"/>
      <c r="N53" s="1372"/>
      <c r="O53" s="544"/>
      <c r="P53" s="367"/>
      <c r="Q53" s="382"/>
      <c r="R53" s="362"/>
      <c r="S53" s="1393"/>
      <c r="T53" s="1394"/>
      <c r="U53" s="1395"/>
      <c r="V53" s="1395"/>
      <c r="W53" s="1395"/>
      <c r="X53" s="1395"/>
      <c r="Y53" s="1395"/>
      <c r="Z53" s="1395"/>
      <c r="AA53" s="1395"/>
      <c r="AB53" s="1395"/>
      <c r="AC53" s="1395"/>
      <c r="AD53" s="1395"/>
      <c r="AE53" s="1395"/>
      <c r="AF53" s="1395"/>
      <c r="AG53" s="1395"/>
      <c r="AH53" s="1395"/>
      <c r="AI53" s="1395"/>
      <c r="AJ53" s="1395"/>
      <c r="AK53" s="1395"/>
      <c r="AL53" s="1395"/>
      <c r="AM53" s="1396"/>
      <c r="AO53" s="507"/>
      <c r="AP53" s="507" t="str">
        <f>IF(T53="","",T53)</f>
        <v/>
      </c>
      <c r="AQ53" s="507"/>
      <c r="AR53" s="507"/>
      <c r="AS53" s="1162">
        <v>0</v>
      </c>
    </row>
    <row s="1649" customFormat="1" customHeight="1" ht="1.05">
      <c r="A54" s="1350" t="s">
        <v>254</v>
      </c>
      <c r="B54" s="1350" t="s">
        <v>255</v>
      </c>
      <c r="C54" s="1350" t="s">
        <v>256</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1</v>
      </c>
    </row>
    <row s="1649" customFormat="1" customHeight="1" ht="1.05">
      <c r="A55" s="1350" t="s">
        <v>254</v>
      </c>
      <c r="B55" s="1350" t="s">
        <v>255</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1</v>
      </c>
    </row>
    <row s="1649" customFormat="1" customHeight="1" ht="1.05">
      <c r="A56" s="1350" t="s">
        <v>254</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1</v>
      </c>
    </row>
    <row s="1649" customFormat="1" customHeight="1" ht="1.05">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1</v>
      </c>
    </row>
    <row customHeight="1" ht="11.549999999999999">
      <c r="M58" s="1167"/>
      <c r="N58" s="1167"/>
      <c r="O58" s="544"/>
      <c r="P58" s="1162"/>
      <c r="Q58" s="1162"/>
      <c r="R58" s="1162"/>
      <c r="S58" s="1162"/>
      <c r="AN58" s="1162"/>
      <c r="AO58" s="1162"/>
      <c r="AP58" s="1162"/>
      <c r="AQ58" s="1162"/>
      <c r="AR58" s="1162"/>
      <c r="AS58" s="1162">
        <v>11</v>
      </c>
    </row>
    <row customHeight="1" ht="19.95">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19</v>
      </c>
    </row>
    <row customHeight="1" ht="29.25">
      <c r="O60" s="544"/>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28</v>
      </c>
    </row>
    <row customHeight="1" ht="42">
      <c r="O61" s="544"/>
      <c r="T61" s="2292"/>
      <c r="U61" s="2292"/>
      <c r="V61" s="2292"/>
      <c r="W61" s="2292"/>
      <c r="X61" s="2292"/>
      <c r="Y61" s="2292"/>
      <c r="Z61" s="2292"/>
      <c r="AA61" s="2292"/>
      <c r="AB61" s="2292"/>
      <c r="AC61" s="2292"/>
      <c r="AD61" s="2292"/>
      <c r="AE61" s="2292"/>
      <c r="AF61" s="2292"/>
      <c r="AG61" s="2292"/>
      <c r="AH61" s="2292"/>
      <c r="AI61" s="2292"/>
      <c r="AJ61" s="2292"/>
      <c r="AK61" s="2292"/>
      <c r="AL61" s="2292"/>
      <c r="AM61" s="2292"/>
      <c r="AS61" s="1162">
        <v>40</v>
      </c>
    </row>
    <row customHeight="1" ht="14.699999999999998">
      <c r="O62" s="544"/>
      <c r="AS62" s="1162">
        <v>14</v>
      </c>
    </row>
    <row customHeight="1" ht="21">
      <c r="O63" s="544"/>
      <c r="S63" s="1260"/>
      <c r="T63" s="2306"/>
      <c r="U63" s="2292"/>
      <c r="V63" s="2292"/>
      <c r="W63" s="2292"/>
      <c r="X63" s="2292"/>
      <c r="Y63" s="2292"/>
      <c r="Z63" s="2292"/>
      <c r="AA63" s="2292"/>
      <c r="AB63" s="2292"/>
      <c r="AC63" s="2292"/>
      <c r="AD63" s="2292"/>
      <c r="AE63" s="2292"/>
      <c r="AF63" s="2292"/>
      <c r="AG63" s="2292"/>
      <c r="AH63" s="2292"/>
      <c r="AI63" s="2292"/>
      <c r="AJ63" s="2292"/>
      <c r="AK63" s="2292"/>
      <c r="AL63" s="2292"/>
      <c r="AM63" s="2292"/>
      <c r="AS63" s="1162">
        <v>20</v>
      </c>
    </row>
    <row customHeight="1" ht="29.25">
      <c r="O64" s="544"/>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28</v>
      </c>
    </row>
    <row customHeight="1" ht="35.699999999999996">
      <c r="T65" s="2292"/>
      <c r="U65" s="2292"/>
      <c r="V65" s="2292"/>
      <c r="W65" s="2292"/>
      <c r="X65" s="2292"/>
      <c r="Y65" s="2292"/>
      <c r="Z65" s="2292"/>
      <c r="AA65" s="2292"/>
      <c r="AB65" s="2292"/>
      <c r="AC65" s="2292"/>
      <c r="AD65" s="2292"/>
      <c r="AE65" s="2292"/>
      <c r="AF65" s="2292"/>
      <c r="AG65" s="2292"/>
      <c r="AH65" s="2292"/>
      <c r="AI65" s="2292"/>
      <c r="AJ65" s="2292"/>
      <c r="AK65" s="2292"/>
      <c r="AL65" s="2292"/>
      <c r="AM65" s="2292"/>
      <c r="AS65" s="1162">
        <v>34</v>
      </c>
    </row>
    <row customHeight="1" ht="22.5" hidden="1">
      <c r="A66" s="1167" t="s">
        <v>82</v>
      </c>
      <c r="B66" s="1167">
        <v>0</v>
      </c>
      <c r="C66" s="1167">
        <v>0</v>
      </c>
      <c r="D66" s="1167">
        <v>0</v>
      </c>
      <c r="E66" s="1167">
        <v>0</v>
      </c>
      <c r="F66" s="1167">
        <v>0</v>
      </c>
      <c r="G66" s="1167">
        <v>0</v>
      </c>
      <c r="H66" s="1167">
        <v>0</v>
      </c>
      <c r="I66" s="1167">
        <v>0</v>
      </c>
      <c r="J66" s="1167">
        <v>0</v>
      </c>
      <c r="K66" s="1167">
        <v>0</v>
      </c>
      <c r="L66" s="1336">
        <v>0</v>
      </c>
      <c r="M66" s="1369">
        <v>0</v>
      </c>
      <c r="N66" s="1369">
        <v>0</v>
      </c>
      <c r="O66" s="1369">
        <v>0</v>
      </c>
      <c r="P66" s="1335">
        <v>0</v>
      </c>
      <c r="Q66" s="351">
        <v>3</v>
      </c>
      <c r="R66" s="351">
        <v>3</v>
      </c>
      <c r="S66" s="588">
        <v>12</v>
      </c>
      <c r="T66" s="1162">
        <v>31</v>
      </c>
      <c r="U66" s="1162">
        <v>0</v>
      </c>
      <c r="V66" s="1162">
        <v>0</v>
      </c>
      <c r="W66" s="1162">
        <v>0</v>
      </c>
      <c r="X66" s="1162">
        <v>0</v>
      </c>
      <c r="Y66" s="1162">
        <v>0</v>
      </c>
      <c r="Z66" s="1162">
        <v>0</v>
      </c>
      <c r="AA66" s="1162">
        <v>0</v>
      </c>
      <c r="AB66" s="1162">
        <v>0</v>
      </c>
      <c r="AC66" s="1162">
        <v>0</v>
      </c>
      <c r="AD66" s="1162">
        <v>24</v>
      </c>
      <c r="AE66" s="1162">
        <v>0</v>
      </c>
      <c r="AF66" s="1162">
        <v>24</v>
      </c>
      <c r="AG66" s="1162">
        <v>24</v>
      </c>
      <c r="AH66" s="1162">
        <v>11</v>
      </c>
      <c r="AI66" s="1162">
        <v>3</v>
      </c>
      <c r="AJ66" s="1162">
        <v>11</v>
      </c>
      <c r="AK66" s="1162">
        <v>0</v>
      </c>
      <c r="AL66" s="1162">
        <v>4</v>
      </c>
      <c r="AM66" s="1162">
        <v>115</v>
      </c>
      <c r="AN66" s="518">
        <v>10</v>
      </c>
      <c r="AO66" s="518">
        <v>10</v>
      </c>
      <c r="AP66" s="518">
        <v>10</v>
      </c>
      <c r="AQ66" s="518">
        <v>10</v>
      </c>
      <c r="AR66" s="518">
        <v>10</v>
      </c>
      <c r="AS66" s="1162">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BAD2C5-BC56-D204-8D4A-7F26D190EE5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7109375" hidden="1"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A1" s="1878"/>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43">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39"/>
      <c r="Q3" s="359"/>
      <c r="R3" s="360"/>
      <c r="S3" s="1343">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2015">
        <f>INDEX(PT_DIFFERENTIATION_NUM_CS,MATCH(C4,PT_DIFFERENTIATION_CS_ID,0))</f>
      </c>
      <c r="T4" s="2019" t="s">
        <v>562</v>
      </c>
      <c r="U4" s="2020"/>
      <c r="V4" s="2307"/>
      <c r="W4" s="2308"/>
      <c r="X4" s="2308"/>
      <c r="Y4" s="2308"/>
      <c r="Z4" s="2308"/>
      <c r="AA4" s="2308"/>
      <c r="AB4" s="2308"/>
      <c r="AC4" s="2309"/>
      <c r="AD4" s="2307">
        <f>INDEX(PT_DIFFERENTIATION_CS,MATCH(C4,PT_DIFFERENTIATION_CS_ID,0))</f>
      </c>
      <c r="AE4" s="2308"/>
      <c r="AF4" s="2308"/>
      <c r="AG4" s="2308"/>
      <c r="AH4" s="2308"/>
      <c r="AI4" s="2308"/>
      <c r="AJ4" s="2308"/>
      <c r="AK4" s="2308"/>
      <c r="AL4" s="2309"/>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1642"/>
      <c r="S5" s="2014">
        <f>INDEX(PT_DIFFERENTIATION_NUM_IST_TE,MATCH(D5,PT_DIFFERENTIATION_IST_TE_ID,0))</f>
      </c>
      <c r="T5" s="317" t="s">
        <v>564</v>
      </c>
      <c r="U5" s="307"/>
      <c r="V5" s="2310"/>
      <c r="W5" s="2310"/>
      <c r="X5" s="2310"/>
      <c r="Y5" s="2310"/>
      <c r="Z5" s="2310"/>
      <c r="AA5" s="2310"/>
      <c r="AB5" s="2310"/>
      <c r="AC5" s="2310"/>
      <c r="AD5" s="2310">
        <f>INDEX(PT_DIFFERENTIATION_IST_TE,MATCH(D5,PT_DIFFERENTIATION_IST_TE_ID,0))</f>
      </c>
      <c r="AE5" s="2310"/>
      <c r="AF5" s="2310"/>
      <c r="AG5" s="2310"/>
      <c r="AH5" s="2310"/>
      <c r="AI5" s="2310"/>
      <c r="AJ5" s="2310"/>
      <c r="AK5" s="2310"/>
      <c r="AL5" s="2310"/>
      <c r="AM5" s="2017" t="s">
        <v>565</v>
      </c>
      <c r="AO5" s="507"/>
      <c r="AP5" s="507" t="str">
        <f>IF(T5="","",T5)</f>
        <v>Источник тепловой энергии  </v>
      </c>
      <c r="AQ5" s="507"/>
      <c r="AR5" s="507"/>
      <c r="AS5" s="1162">
        <v>0</v>
      </c>
    </row>
    <row customHeight="1" ht="0.75" hidden="1">
      <c r="A6" s="1370"/>
      <c r="B6" s="1370"/>
      <c r="C6" s="1370"/>
      <c r="D6" s="1370"/>
      <c r="E6" s="2266"/>
      <c r="F6" s="2266"/>
      <c r="G6" s="2266"/>
      <c r="H6" s="2266"/>
      <c r="I6" s="2263">
        <f>S5&amp;".1"</f>
      </c>
      <c r="J6" s="1370"/>
      <c r="K6" s="1370"/>
      <c r="L6" s="1371" t="s">
        <v>566</v>
      </c>
      <c r="M6" s="544"/>
      <c r="P6" s="2264">
        <v>1</v>
      </c>
      <c r="Q6" s="1338"/>
      <c r="R6" s="2013"/>
      <c r="S6" s="1049"/>
      <c r="T6" s="1390"/>
      <c r="U6" s="1391"/>
      <c r="V6" s="2311"/>
      <c r="W6" s="2311"/>
      <c r="X6" s="2311"/>
      <c r="Y6" s="2311"/>
      <c r="Z6" s="2311"/>
      <c r="AA6" s="2311"/>
      <c r="AB6" s="2311"/>
      <c r="AC6" s="2311"/>
      <c r="AD6" s="2311"/>
      <c r="AE6" s="2311"/>
      <c r="AF6" s="2311"/>
      <c r="AG6" s="2311"/>
      <c r="AH6" s="2311"/>
      <c r="AI6" s="2311"/>
      <c r="AJ6" s="2311"/>
      <c r="AK6" s="2311"/>
      <c r="AL6" s="2311"/>
      <c r="AM6" s="2018"/>
      <c r="AO6" s="507"/>
      <c r="AP6" s="507" t="str">
        <f>IF(T6="","",T6)</f>
        <v/>
      </c>
      <c r="AQ6" s="507"/>
      <c r="AR6" s="507"/>
      <c r="AS6" s="1162">
        <v>0</v>
      </c>
    </row>
    <row customHeight="1" ht="84" hidden="1">
      <c r="A7" s="1370"/>
      <c r="B7" s="1370"/>
      <c r="C7" s="1370"/>
      <c r="D7" s="1370"/>
      <c r="E7" s="2266"/>
      <c r="F7" s="2266"/>
      <c r="G7" s="2266"/>
      <c r="H7" s="2266"/>
      <c r="I7" s="2293"/>
      <c r="J7" s="2263">
        <f>I6&amp;".1"</f>
      </c>
      <c r="K7" s="1370"/>
      <c r="L7" s="1371" t="s">
        <v>569</v>
      </c>
      <c r="M7" s="544"/>
      <c r="N7" s="1373"/>
      <c r="P7" s="2264"/>
      <c r="Q7" s="2264">
        <v>1</v>
      </c>
      <c r="R7" s="1649"/>
      <c r="S7" s="2014">
        <f>$J7</f>
      </c>
      <c r="T7" s="293" t="s">
        <v>570</v>
      </c>
      <c r="U7" s="307"/>
      <c r="V7" s="2312"/>
      <c r="W7" s="2312"/>
      <c r="X7" s="2312"/>
      <c r="Y7" s="2312"/>
      <c r="Z7" s="2312"/>
      <c r="AA7" s="2312"/>
      <c r="AB7" s="2312"/>
      <c r="AC7" s="2312"/>
      <c r="AD7" s="2312"/>
      <c r="AE7" s="2312"/>
      <c r="AF7" s="2312"/>
      <c r="AG7" s="2312"/>
      <c r="AH7" s="2312"/>
      <c r="AI7" s="2312"/>
      <c r="AJ7" s="2312"/>
      <c r="AK7" s="2312"/>
      <c r="AL7" s="2312"/>
      <c r="AM7" s="2017" t="s">
        <v>571</v>
      </c>
      <c r="AO7" s="507"/>
      <c r="AP7" s="507" t="str">
        <f>IF(T7="","",T7)</f>
        <v>Группа потребителей</v>
      </c>
      <c r="AQ7" s="507"/>
      <c r="AR7" s="507"/>
      <c r="AS7" s="1162">
        <v>0</v>
      </c>
    </row>
    <row customHeight="1" ht="11.25" hidden="1">
      <c r="A8" s="1370"/>
      <c r="B8" s="1370"/>
      <c r="C8" s="1370"/>
      <c r="D8" s="1370"/>
      <c r="E8" s="2266"/>
      <c r="F8" s="2266"/>
      <c r="G8" s="2266"/>
      <c r="H8" s="2266"/>
      <c r="I8" s="2293"/>
      <c r="J8" s="2293"/>
      <c r="K8" s="2263">
        <f>J7&amp;".1"</f>
      </c>
      <c r="L8" s="1371" t="s">
        <v>572</v>
      </c>
      <c r="M8" s="544"/>
      <c r="N8" s="1373"/>
      <c r="O8" s="1373"/>
      <c r="P8" s="2264"/>
      <c r="Q8" s="2264"/>
      <c r="R8" s="364">
        <v>1</v>
      </c>
      <c r="S8" s="2016">
        <f>$K8</f>
      </c>
      <c r="T8" s="2021"/>
      <c r="U8" s="2022"/>
      <c r="V8" s="2023"/>
      <c r="W8" s="1356"/>
      <c r="X8" s="2023"/>
      <c r="Y8" s="2024"/>
      <c r="Z8" s="2313"/>
      <c r="AA8" s="2119" t="s">
        <v>66</v>
      </c>
      <c r="AB8" s="2313"/>
      <c r="AC8" s="2119" t="s">
        <v>66</v>
      </c>
      <c r="AD8" s="2023"/>
      <c r="AE8" s="1356"/>
      <c r="AF8" s="2023"/>
      <c r="AG8" s="2024"/>
      <c r="AH8" s="2313"/>
      <c r="AI8" s="2119" t="s">
        <v>66</v>
      </c>
      <c r="AJ8" s="2313"/>
      <c r="AK8" s="2119" t="s">
        <v>66</v>
      </c>
      <c r="AL8" s="1356"/>
      <c r="AM8" s="2260" t="s">
        <v>573</v>
      </c>
      <c r="AN8" s="518">
        <f>STRCHECKDATE(V9:AL9)</f>
      </c>
      <c r="AO8" s="507"/>
      <c r="AP8" s="507" t="str">
        <f>IF(T8="","",T8)</f>
        <v/>
      </c>
      <c r="AQ8" s="507"/>
      <c r="AR8" s="507"/>
      <c r="AS8" s="1162">
        <v>0</v>
      </c>
    </row>
    <row customHeight="1" ht="0.75" hidden="1">
      <c r="A9" s="1370"/>
      <c r="B9" s="1370"/>
      <c r="C9" s="1370"/>
      <c r="D9" s="1370"/>
      <c r="E9" s="2266"/>
      <c r="F9" s="2266"/>
      <c r="G9" s="2266"/>
      <c r="H9" s="2266"/>
      <c r="I9" s="2293"/>
      <c r="J9" s="2293"/>
      <c r="K9" s="2263"/>
      <c r="L9" s="1371"/>
      <c r="M9" s="544"/>
      <c r="N9" s="1373"/>
      <c r="O9" s="1373"/>
      <c r="P9" s="2264"/>
      <c r="Q9" s="2264"/>
      <c r="R9" s="364"/>
      <c r="S9" s="1349"/>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1.25" hidden="1">
      <c r="A10" s="1370"/>
      <c r="B10" s="1370"/>
      <c r="C10" s="1370"/>
      <c r="D10" s="1370"/>
      <c r="E10" s="2266"/>
      <c r="F10" s="2266"/>
      <c r="G10" s="2266"/>
      <c r="H10" s="2266"/>
      <c r="I10" s="2293"/>
      <c r="J10" s="2263"/>
      <c r="K10" s="1370"/>
      <c r="L10" s="1371"/>
      <c r="M10" s="544"/>
      <c r="N10" s="1373"/>
      <c r="P10" s="2264"/>
      <c r="Q10" s="2264"/>
      <c r="R10" s="363"/>
      <c r="S10" s="1285"/>
      <c r="T10" s="294"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1.25" hidden="1">
      <c r="A11" s="1370"/>
      <c r="B11" s="1370"/>
      <c r="C11" s="1370"/>
      <c r="D11" s="1370"/>
      <c r="E11" s="2266"/>
      <c r="F11" s="2266"/>
      <c r="G11" s="2266"/>
      <c r="H11" s="2266"/>
      <c r="I11" s="2263"/>
      <c r="J11" s="1370"/>
      <c r="K11" s="1370"/>
      <c r="L11" s="1371"/>
      <c r="M11" s="544"/>
      <c r="P11" s="2264"/>
      <c r="Q11" s="1338"/>
      <c r="R11" s="363"/>
      <c r="S11" s="1285"/>
      <c r="T11" s="372"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0.75" hidden="1">
      <c r="A12" s="1370"/>
      <c r="B12" s="1370"/>
      <c r="C12" s="1370"/>
      <c r="D12" s="1370"/>
      <c r="E12" s="2266"/>
      <c r="F12" s="2266"/>
      <c r="G12" s="2266"/>
      <c r="H12" s="2265"/>
      <c r="I12" s="1370"/>
      <c r="J12" s="1370"/>
      <c r="K12" s="1370"/>
      <c r="L12" s="1371"/>
      <c r="M12" s="1372"/>
      <c r="N12" s="1372"/>
      <c r="O12" s="544"/>
      <c r="P12" s="367"/>
      <c r="Q12" s="382"/>
      <c r="R12" s="362"/>
      <c r="S12" s="1393"/>
      <c r="T12" s="1394"/>
      <c r="U12" s="1395"/>
      <c r="V12" s="1395"/>
      <c r="W12" s="1395"/>
      <c r="X12" s="1395"/>
      <c r="Y12" s="1395"/>
      <c r="Z12" s="1395"/>
      <c r="AA12" s="1395"/>
      <c r="AB12" s="1395"/>
      <c r="AC12" s="1395"/>
      <c r="AD12" s="1395"/>
      <c r="AE12" s="1395"/>
      <c r="AF12" s="1395"/>
      <c r="AG12" s="1395"/>
      <c r="AH12" s="1395"/>
      <c r="AI12" s="1395"/>
      <c r="AJ12" s="1395"/>
      <c r="AK12" s="1395"/>
      <c r="AL12" s="1395"/>
      <c r="AM12" s="1396"/>
      <c r="AO12" s="507"/>
      <c r="AP12" s="507" t="str">
        <f>IF(T12="","",T12)</f>
        <v/>
      </c>
      <c r="AQ12" s="507"/>
      <c r="AR12" s="507"/>
      <c r="AS12" s="1162">
        <v>0</v>
      </c>
    </row>
    <row s="1649" customFormat="1" customHeight="1" ht="0.7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0.7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0.7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AD17" s="1367"/>
      <c r="AE17" s="1367"/>
      <c r="AF17" s="1367"/>
      <c r="AG17" s="1368"/>
      <c r="AH17" s="2274"/>
      <c r="AI17" s="2275" t="s">
        <v>66</v>
      </c>
      <c r="AJ17" s="2274"/>
      <c r="AK17" s="2275" t="s">
        <v>66</v>
      </c>
      <c r="AS17" s="1162">
        <v>0</v>
      </c>
    </row>
    <row customHeight="1" ht="14.25" hidden="1">
      <c r="AD18" s="1367"/>
      <c r="AE18" s="1367"/>
      <c r="AF18" s="1367"/>
      <c r="AG18" s="335" t="str">
        <f>AH17&amp;"-"&amp;AJ17</f>
        <v>-</v>
      </c>
      <c r="AH18" s="2275"/>
      <c r="AI18" s="2275"/>
      <c r="AJ18" s="2275"/>
      <c r="AK18" s="2275"/>
      <c r="AS18" s="1162">
        <v>0</v>
      </c>
    </row>
    <row customHeight="1" ht="14.25" hidden="1">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14.2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AS23" s="1162">
        <v>0</v>
      </c>
    </row>
    <row customHeight="1" ht="14.25" hidden="1">
      <c r="O24" s="1371"/>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54.75">
      <c r="Q26" s="383"/>
      <c r="R26" s="383"/>
      <c r="S26" s="231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14"/>
      <c r="U26" s="2314"/>
      <c r="V26" s="2314"/>
      <c r="W26" s="2314"/>
      <c r="X26" s="2314"/>
      <c r="Y26" s="2314"/>
      <c r="Z26" s="2314"/>
      <c r="AA26" s="2314"/>
      <c r="AB26" s="2314"/>
      <c r="AC26" s="2314"/>
      <c r="AD26" s="2314"/>
      <c r="AE26" s="2314"/>
      <c r="AF26" s="2314"/>
      <c r="AG26" s="2314"/>
      <c r="AH26" s="2314"/>
      <c r="AI26" s="2314"/>
      <c r="AJ26" s="2314"/>
      <c r="AK26" s="1250"/>
      <c r="AS26" s="1162">
        <v>52</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18.7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347"/>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162">
        <v>14</v>
      </c>
    </row>
    <row customHeight="1" ht="35.699999999999996">
      <c r="Q40" s="383"/>
      <c r="R40" s="383"/>
      <c r="S40" s="2280"/>
      <c r="T40" s="2216"/>
      <c r="U40" s="1038"/>
      <c r="V40" s="2267" t="s">
        <v>594</v>
      </c>
      <c r="W40" s="2290"/>
      <c r="X40" s="2269" t="s">
        <v>596</v>
      </c>
      <c r="Y40" s="2270"/>
      <c r="Z40" s="2269" t="s">
        <v>597</v>
      </c>
      <c r="AA40" s="2276"/>
      <c r="AB40" s="2270"/>
      <c r="AC40" s="2285"/>
      <c r="AD40" s="2267" t="s">
        <v>610</v>
      </c>
      <c r="AE40" s="2290"/>
      <c r="AF40" s="2269" t="s">
        <v>596</v>
      </c>
      <c r="AG40" s="2270"/>
      <c r="AH40" s="2269" t="s">
        <v>597</v>
      </c>
      <c r="AI40" s="2276"/>
      <c r="AJ40" s="2270"/>
      <c r="AK40" s="2285"/>
      <c r="AL40" s="2288"/>
      <c r="AM40" s="2134"/>
      <c r="AS40" s="1162">
        <v>34</v>
      </c>
    </row>
    <row customHeight="1" ht="35.699999999999996">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Q41" s="383"/>
      <c r="R41" s="383"/>
      <c r="S41" s="2280"/>
      <c r="T41" s="2216"/>
      <c r="U41" s="309"/>
      <c r="V41" s="2268"/>
      <c r="W41" s="2291"/>
      <c r="X41" s="1229" t="s">
        <v>605</v>
      </c>
      <c r="Y41" s="1229" t="s">
        <v>606</v>
      </c>
      <c r="Z41" s="1345" t="s">
        <v>607</v>
      </c>
      <c r="AA41" s="2277" t="s">
        <v>608</v>
      </c>
      <c r="AB41" s="2278"/>
      <c r="AC41" s="2286"/>
      <c r="AD41" s="2268"/>
      <c r="AE41" s="2291"/>
      <c r="AF41" s="1229" t="s">
        <v>605</v>
      </c>
      <c r="AG41" s="1229" t="s">
        <v>606</v>
      </c>
      <c r="AH41" s="1345" t="s">
        <v>607</v>
      </c>
      <c r="AI41" s="2277" t="s">
        <v>608</v>
      </c>
      <c r="AJ41" s="2278"/>
      <c r="AK41" s="2286"/>
      <c r="AL41" s="2289"/>
      <c r="AM41" s="2134"/>
      <c r="AS41" s="1162">
        <v>34</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342">
        <f>OFFSET(V42,0,-1)+1</f>
        <v>3</v>
      </c>
      <c r="W42" s="1342"/>
      <c r="X42" s="1342">
        <f>OFFSET(X42,0,-1)+1</f>
        <v>1</v>
      </c>
      <c r="Y42" s="1342">
        <f>OFFSET(Y42,0,-1)+1</f>
        <v>2</v>
      </c>
      <c r="Z42" s="1342">
        <f>OFFSET(Z42,0,-1)+1</f>
        <v>3</v>
      </c>
      <c r="AA42" s="2279">
        <f>OFFSET(AA42,0,-1)+1</f>
        <v>4</v>
      </c>
      <c r="AB42" s="2279"/>
      <c r="AC42" s="1342">
        <f>OFFSET(AC42,0,-2)+1</f>
        <v>5</v>
      </c>
      <c r="AD42" s="1342">
        <f>OFFSET(AD42,0,-1)+1</f>
        <v>6</v>
      </c>
      <c r="AE42" s="1342"/>
      <c r="AF42" s="1342">
        <f>OFFSET(AF42,0,-1)+1</f>
        <v>1</v>
      </c>
      <c r="AG42" s="1342">
        <f>OFFSET(AG42,0,-1)+1</f>
        <v>2</v>
      </c>
      <c r="AH42" s="1342">
        <f>OFFSET(AH42,0,-1)+1</f>
        <v>3</v>
      </c>
      <c r="AI42" s="2279">
        <f>OFFSET(AI42,0,-1)+1</f>
        <v>4</v>
      </c>
      <c r="AJ42" s="2279"/>
      <c r="AK42" s="1342">
        <f>OFFSET(AK42,0,-2)+1</f>
        <v>5</v>
      </c>
      <c r="AL42" s="1252">
        <f>OFFSET(AL42,0,-1)</f>
        <v>5</v>
      </c>
      <c r="AM42" s="1342">
        <f>OFFSET(AM42,0,-1)+1</f>
        <v>6</v>
      </c>
      <c r="AN42" s="518"/>
      <c r="AO42" s="518"/>
      <c r="AP42" s="518"/>
      <c r="AQ42" s="518"/>
      <c r="AR42" s="518"/>
      <c r="AS42" s="503">
        <v>0</v>
      </c>
    </row>
    <row customHeight="1" ht="22.049999999999997">
      <c r="A43" s="1370" t="s">
        <v>266</v>
      </c>
      <c r="B43" s="1370"/>
      <c r="C43" s="1370"/>
      <c r="D43" s="1370"/>
      <c r="E43" s="2265">
        <v>1</v>
      </c>
      <c r="F43" s="1370"/>
      <c r="G43" s="1370"/>
      <c r="H43" s="1370"/>
      <c r="I43" s="1370"/>
      <c r="J43" s="1370"/>
      <c r="K43" s="1370"/>
      <c r="L43" s="1371"/>
      <c r="M43" s="1372"/>
      <c r="N43" s="1372"/>
      <c r="O43" s="1372"/>
      <c r="P43" s="368"/>
      <c r="Q43" s="367"/>
      <c r="R43" s="362"/>
      <c r="S43" s="1343">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21</v>
      </c>
    </row>
    <row customHeight="1" ht="22.049999999999997">
      <c r="A44" s="1370" t="s">
        <v>266</v>
      </c>
      <c r="B44" s="1370" t="s">
        <v>267</v>
      </c>
      <c r="C44" s="1370"/>
      <c r="D44" s="1370"/>
      <c r="E44" s="2266"/>
      <c r="F44" s="2265">
        <v>1</v>
      </c>
      <c r="G44" s="1370"/>
      <c r="H44" s="1370"/>
      <c r="I44" s="1370"/>
      <c r="J44" s="1370"/>
      <c r="K44" s="1370"/>
      <c r="L44" s="1371"/>
      <c r="M44" s="1372"/>
      <c r="N44" s="1372"/>
      <c r="O44" s="1372"/>
      <c r="P44" s="1339"/>
      <c r="Q44" s="359"/>
      <c r="R44" s="360"/>
      <c r="S44" s="1343"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21</v>
      </c>
    </row>
    <row customHeight="1" ht="24">
      <c r="A45" s="1370" t="s">
        <v>266</v>
      </c>
      <c r="B45" s="1370" t="s">
        <v>267</v>
      </c>
      <c r="C45" s="1370" t="s">
        <v>268</v>
      </c>
      <c r="D45" s="1370"/>
      <c r="E45" s="2266"/>
      <c r="F45" s="2266"/>
      <c r="G45" s="2265">
        <v>1</v>
      </c>
      <c r="H45" s="1370"/>
      <c r="I45" s="1370"/>
      <c r="J45" s="1370"/>
      <c r="K45" s="1370"/>
      <c r="L45" s="1371"/>
      <c r="M45" s="1372"/>
      <c r="N45" s="1372"/>
      <c r="O45" s="1372"/>
      <c r="P45" s="361"/>
      <c r="Q45" s="359"/>
      <c r="R45" s="360"/>
      <c r="S45" s="1343"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2.049999999999997">
      <c r="A46" s="1370" t="s">
        <v>266</v>
      </c>
      <c r="B46" s="1370" t="s">
        <v>267</v>
      </c>
      <c r="C46" s="1370" t="s">
        <v>268</v>
      </c>
      <c r="D46" s="1370" t="s">
        <v>269</v>
      </c>
      <c r="E46" s="2266"/>
      <c r="F46" s="2266"/>
      <c r="G46" s="2266"/>
      <c r="H46" s="2265">
        <v>1</v>
      </c>
      <c r="I46" s="1370"/>
      <c r="J46" s="1370"/>
      <c r="K46" s="1370"/>
      <c r="L46" s="1371"/>
      <c r="M46" s="1372"/>
      <c r="N46" s="1372"/>
      <c r="O46" s="1372"/>
      <c r="P46" s="361"/>
      <c r="Q46" s="359"/>
      <c r="R46" s="360"/>
      <c r="S46" s="1343"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21</v>
      </c>
    </row>
    <row s="1649" customFormat="1" customHeight="1" ht="0">
      <c r="A47" s="1350" t="s">
        <v>266</v>
      </c>
      <c r="B47" s="1350" t="s">
        <v>267</v>
      </c>
      <c r="C47" s="1350" t="s">
        <v>268</v>
      </c>
      <c r="D47" s="1350" t="s">
        <v>269</v>
      </c>
      <c r="E47" s="2266"/>
      <c r="F47" s="2266"/>
      <c r="G47" s="2266"/>
      <c r="H47" s="2266"/>
      <c r="I47" s="2263" t="str">
        <f>S46&amp;".1"</f>
        <v>....1</v>
      </c>
      <c r="J47" s="1350"/>
      <c r="K47" s="1350"/>
      <c r="L47" s="1353" t="s">
        <v>566</v>
      </c>
      <c r="M47" s="517"/>
      <c r="N47" s="517"/>
      <c r="O47" s="517"/>
      <c r="P47" s="2264">
        <v>1</v>
      </c>
      <c r="Q47" s="1338"/>
      <c r="R47" s="363"/>
      <c r="S47" s="1049"/>
      <c r="T47" s="1390"/>
      <c r="U47" s="1391"/>
      <c r="V47" s="2303"/>
      <c r="W47" s="2304"/>
      <c r="X47" s="2304"/>
      <c r="Y47" s="2304"/>
      <c r="Z47" s="2304"/>
      <c r="AA47" s="2304"/>
      <c r="AB47" s="2304"/>
      <c r="AC47" s="2305"/>
      <c r="AD47" s="2303"/>
      <c r="AE47" s="2304"/>
      <c r="AF47" s="2304"/>
      <c r="AG47" s="2304"/>
      <c r="AH47" s="2304"/>
      <c r="AI47" s="2304"/>
      <c r="AJ47" s="2304"/>
      <c r="AK47" s="2304"/>
      <c r="AL47" s="2305"/>
      <c r="AM47" s="1392"/>
      <c r="AO47" s="507"/>
      <c r="AP47" s="507" t="str">
        <f>IF(T47="","",T47)</f>
        <v/>
      </c>
      <c r="AQ47" s="507"/>
      <c r="AR47" s="507"/>
      <c r="AS47" s="518">
        <v>0</v>
      </c>
    </row>
    <row customHeight="1" ht="22.049999999999997">
      <c r="A48" s="1370" t="s">
        <v>266</v>
      </c>
      <c r="B48" s="1370" t="s">
        <v>267</v>
      </c>
      <c r="C48" s="1370" t="s">
        <v>268</v>
      </c>
      <c r="D48" s="1370" t="s">
        <v>269</v>
      </c>
      <c r="E48" s="2266"/>
      <c r="F48" s="2266"/>
      <c r="G48" s="2266"/>
      <c r="H48" s="2266"/>
      <c r="I48" s="2293"/>
      <c r="J48" s="2263" t="str">
        <f>S46&amp;".1"</f>
        <v>....1</v>
      </c>
      <c r="K48" s="1370"/>
      <c r="L48" s="1371" t="s">
        <v>569</v>
      </c>
      <c r="P48" s="2264"/>
      <c r="Q48" s="2264">
        <v>1</v>
      </c>
      <c r="R48" s="364"/>
      <c r="S48" s="1343" t="str">
        <f>$J48</f>
        <v>....1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21</v>
      </c>
    </row>
    <row customHeight="1" ht="22.049999999999997">
      <c r="A49" s="1370" t="s">
        <v>266</v>
      </c>
      <c r="B49" s="1370" t="s">
        <v>267</v>
      </c>
      <c r="C49" s="1370" t="s">
        <v>268</v>
      </c>
      <c r="D49" s="1370" t="s">
        <v>269</v>
      </c>
      <c r="E49" s="2266"/>
      <c r="F49" s="2266"/>
      <c r="G49" s="2266"/>
      <c r="H49" s="2266"/>
      <c r="I49" s="2293"/>
      <c r="J49" s="2293"/>
      <c r="K49" s="2263" t="str">
        <f>J48&amp;".1"</f>
        <v>....1.1</v>
      </c>
      <c r="L49" s="1371" t="s">
        <v>572</v>
      </c>
      <c r="P49" s="2264"/>
      <c r="Q49" s="2264"/>
      <c r="R49" s="364">
        <v>1</v>
      </c>
      <c r="S49" s="1343" t="str">
        <f>$K49</f>
        <v>....1.1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611</v>
      </c>
      <c r="AN49" s="518">
        <f>STRCHECKDATE(V50:AL50)</f>
      </c>
      <c r="AO49" s="507"/>
      <c r="AP49" s="507" t="str">
        <f>IF(T49="","",T49)</f>
        <v/>
      </c>
      <c r="AQ49" s="507"/>
      <c r="AR49" s="507"/>
      <c r="AS49" s="1162">
        <v>21</v>
      </c>
    </row>
    <row customHeight="1" ht="1.05">
      <c r="A50" s="1370" t="s">
        <v>266</v>
      </c>
      <c r="B50" s="1370" t="s">
        <v>267</v>
      </c>
      <c r="C50" s="1370" t="s">
        <v>268</v>
      </c>
      <c r="D50" s="1370" t="s">
        <v>269</v>
      </c>
      <c r="E50" s="2266"/>
      <c r="F50" s="2266"/>
      <c r="G50" s="2266"/>
      <c r="H50" s="2266"/>
      <c r="I50" s="2293"/>
      <c r="J50" s="2293"/>
      <c r="K50" s="2263"/>
      <c r="L50" s="1371"/>
      <c r="P50" s="2264"/>
      <c r="Q50" s="2264"/>
      <c r="R50" s="364"/>
      <c r="S50" s="1349"/>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1</v>
      </c>
    </row>
    <row customHeight="1" ht="11.549999999999999">
      <c r="A51" s="1370" t="s">
        <v>266</v>
      </c>
      <c r="B51" s="1370" t="s">
        <v>267</v>
      </c>
      <c r="C51" s="1370" t="s">
        <v>268</v>
      </c>
      <c r="D51" s="1370" t="s">
        <v>269</v>
      </c>
      <c r="E51" s="2266"/>
      <c r="F51" s="2266"/>
      <c r="G51" s="2266"/>
      <c r="H51" s="2266"/>
      <c r="I51" s="2293"/>
      <c r="J51" s="2263"/>
      <c r="K51" s="1370"/>
      <c r="L51" s="1371"/>
      <c r="P51" s="2264"/>
      <c r="Q51" s="2264"/>
      <c r="R51" s="363"/>
      <c r="S51" s="1285"/>
      <c r="T51" s="294"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266</v>
      </c>
      <c r="B52" s="1370" t="s">
        <v>267</v>
      </c>
      <c r="C52" s="1370" t="s">
        <v>268</v>
      </c>
      <c r="D52" s="1370" t="s">
        <v>269</v>
      </c>
      <c r="E52" s="2266"/>
      <c r="F52" s="2266"/>
      <c r="G52" s="2266"/>
      <c r="H52" s="2266"/>
      <c r="I52" s="2263"/>
      <c r="J52" s="1370"/>
      <c r="K52" s="1370"/>
      <c r="L52" s="1371"/>
      <c r="P52" s="2264"/>
      <c r="Q52" s="1338"/>
      <c r="R52" s="363"/>
      <c r="S52" s="1285"/>
      <c r="T52" s="372"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0">
      <c r="A53" s="1370" t="s">
        <v>266</v>
      </c>
      <c r="B53" s="1370" t="s">
        <v>267</v>
      </c>
      <c r="C53" s="1370" t="s">
        <v>268</v>
      </c>
      <c r="D53" s="1370" t="s">
        <v>269</v>
      </c>
      <c r="E53" s="2266"/>
      <c r="F53" s="2266"/>
      <c r="G53" s="2266"/>
      <c r="H53" s="2265"/>
      <c r="I53" s="1370"/>
      <c r="J53" s="1370"/>
      <c r="K53" s="1370"/>
      <c r="L53" s="1371"/>
      <c r="M53" s="1372"/>
      <c r="N53" s="1372"/>
      <c r="O53" s="544"/>
      <c r="P53" s="367"/>
      <c r="Q53" s="382"/>
      <c r="R53" s="362"/>
      <c r="S53" s="1393"/>
      <c r="T53" s="1394"/>
      <c r="U53" s="1395"/>
      <c r="V53" s="1395"/>
      <c r="W53" s="1395"/>
      <c r="X53" s="1395"/>
      <c r="Y53" s="1395"/>
      <c r="Z53" s="1395"/>
      <c r="AA53" s="1395"/>
      <c r="AB53" s="1395"/>
      <c r="AC53" s="1395"/>
      <c r="AD53" s="1395"/>
      <c r="AE53" s="1395"/>
      <c r="AF53" s="1395"/>
      <c r="AG53" s="1395"/>
      <c r="AH53" s="1395"/>
      <c r="AI53" s="1395"/>
      <c r="AJ53" s="1395"/>
      <c r="AK53" s="1395"/>
      <c r="AL53" s="1395"/>
      <c r="AM53" s="1396"/>
      <c r="AO53" s="507"/>
      <c r="AP53" s="507" t="str">
        <f>IF(T53="","",T53)</f>
        <v/>
      </c>
      <c r="AQ53" s="507"/>
      <c r="AR53" s="507"/>
      <c r="AS53" s="1162">
        <v>0</v>
      </c>
    </row>
    <row s="1649" customFormat="1" customHeight="1" ht="1.05">
      <c r="A54" s="1350" t="s">
        <v>266</v>
      </c>
      <c r="B54" s="1350" t="s">
        <v>267</v>
      </c>
      <c r="C54" s="1350" t="s">
        <v>268</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1</v>
      </c>
    </row>
    <row s="1649" customFormat="1" customHeight="1" ht="1.05">
      <c r="A55" s="1350" t="s">
        <v>266</v>
      </c>
      <c r="B55" s="1350" t="s">
        <v>267</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1</v>
      </c>
    </row>
    <row s="1649" customFormat="1" customHeight="1" ht="1.05">
      <c r="A56" s="1350" t="s">
        <v>266</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1</v>
      </c>
    </row>
    <row s="1649" customFormat="1" customHeight="1" ht="1.05">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1</v>
      </c>
    </row>
    <row customHeight="1" ht="11.549999999999999">
      <c r="M58" s="1167"/>
      <c r="N58" s="1167"/>
      <c r="O58" s="544"/>
      <c r="P58" s="1162"/>
      <c r="Q58" s="1162"/>
      <c r="R58" s="1162"/>
      <c r="S58" s="1162"/>
      <c r="AN58" s="1162"/>
      <c r="AO58" s="1162"/>
      <c r="AP58" s="1162"/>
      <c r="AQ58" s="1162"/>
      <c r="AR58" s="1162"/>
      <c r="AS58" s="1162">
        <v>11</v>
      </c>
    </row>
    <row customHeight="1" ht="23.25">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22</v>
      </c>
    </row>
    <row customHeight="1" ht="30.45">
      <c r="O60" s="544"/>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29</v>
      </c>
    </row>
    <row customHeight="1" ht="42">
      <c r="O61" s="544"/>
      <c r="T61" s="2292"/>
      <c r="U61" s="2292"/>
      <c r="V61" s="2292"/>
      <c r="W61" s="2292"/>
      <c r="X61" s="2292"/>
      <c r="Y61" s="2292"/>
      <c r="Z61" s="2292"/>
      <c r="AA61" s="2292"/>
      <c r="AB61" s="2292"/>
      <c r="AC61" s="2292"/>
      <c r="AD61" s="2292"/>
      <c r="AE61" s="2292"/>
      <c r="AF61" s="2292"/>
      <c r="AG61" s="2292"/>
      <c r="AH61" s="2292"/>
      <c r="AI61" s="2292"/>
      <c r="AJ61" s="2292"/>
      <c r="AK61" s="2292"/>
      <c r="AL61" s="2292"/>
      <c r="AM61" s="2292"/>
      <c r="AS61" s="1162">
        <v>40</v>
      </c>
    </row>
    <row customHeight="1" ht="14.699999999999998">
      <c r="O62" s="544"/>
      <c r="AS62" s="1162">
        <v>14</v>
      </c>
    </row>
    <row customHeight="1" ht="21">
      <c r="O63" s="544"/>
      <c r="S63" s="1260"/>
      <c r="T63" s="2306"/>
      <c r="U63" s="2292"/>
      <c r="V63" s="2292"/>
      <c r="W63" s="2292"/>
      <c r="X63" s="2292"/>
      <c r="Y63" s="2292"/>
      <c r="Z63" s="2292"/>
      <c r="AA63" s="2292"/>
      <c r="AB63" s="2292"/>
      <c r="AC63" s="2292"/>
      <c r="AD63" s="2292"/>
      <c r="AE63" s="2292"/>
      <c r="AF63" s="2292"/>
      <c r="AG63" s="2292"/>
      <c r="AH63" s="2292"/>
      <c r="AI63" s="2292"/>
      <c r="AJ63" s="2292"/>
      <c r="AK63" s="2292"/>
      <c r="AL63" s="2292"/>
      <c r="AM63" s="2292"/>
      <c r="AS63" s="1162">
        <v>20</v>
      </c>
    </row>
    <row customHeight="1" ht="29.25">
      <c r="O64" s="544"/>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28</v>
      </c>
    </row>
    <row customHeight="1" ht="35.699999999999996">
      <c r="T65" s="2292"/>
      <c r="U65" s="2292"/>
      <c r="V65" s="2292"/>
      <c r="W65" s="2292"/>
      <c r="X65" s="2292"/>
      <c r="Y65" s="2292"/>
      <c r="Z65" s="2292"/>
      <c r="AA65" s="2292"/>
      <c r="AB65" s="2292"/>
      <c r="AC65" s="2292"/>
      <c r="AD65" s="2292"/>
      <c r="AE65" s="2292"/>
      <c r="AF65" s="2292"/>
      <c r="AG65" s="2292"/>
      <c r="AH65" s="2292"/>
      <c r="AI65" s="2292"/>
      <c r="AJ65" s="2292"/>
      <c r="AK65" s="2292"/>
      <c r="AL65" s="2292"/>
      <c r="AM65" s="2292"/>
      <c r="AS65" s="1162">
        <v>34</v>
      </c>
    </row>
    <row customHeight="1" ht="22.5" hidden="1">
      <c r="A66" s="1167" t="s">
        <v>82</v>
      </c>
      <c r="B66" s="1167">
        <v>0</v>
      </c>
      <c r="C66" s="1167">
        <v>0</v>
      </c>
      <c r="D66" s="1167">
        <v>0</v>
      </c>
      <c r="E66" s="1167">
        <v>0</v>
      </c>
      <c r="F66" s="1167">
        <v>0</v>
      </c>
      <c r="G66" s="1167">
        <v>0</v>
      </c>
      <c r="H66" s="1167">
        <v>0</v>
      </c>
      <c r="I66" s="1167">
        <v>0</v>
      </c>
      <c r="J66" s="1167">
        <v>0</v>
      </c>
      <c r="K66" s="1167">
        <v>0</v>
      </c>
      <c r="L66" s="1336">
        <v>0</v>
      </c>
      <c r="M66" s="1369">
        <v>0</v>
      </c>
      <c r="N66" s="1369">
        <v>0</v>
      </c>
      <c r="O66" s="1369">
        <v>0</v>
      </c>
      <c r="P66" s="1335">
        <v>0</v>
      </c>
      <c r="Q66" s="351">
        <v>3</v>
      </c>
      <c r="R66" s="351">
        <v>3</v>
      </c>
      <c r="S66" s="588">
        <v>12</v>
      </c>
      <c r="T66" s="1162">
        <v>31</v>
      </c>
      <c r="U66" s="1162">
        <v>0</v>
      </c>
      <c r="V66" s="1162">
        <v>0</v>
      </c>
      <c r="W66" s="1162">
        <v>0</v>
      </c>
      <c r="X66" s="1162">
        <v>0</v>
      </c>
      <c r="Y66" s="1162">
        <v>0</v>
      </c>
      <c r="Z66" s="1162">
        <v>0</v>
      </c>
      <c r="AA66" s="1162">
        <v>0</v>
      </c>
      <c r="AB66" s="1162">
        <v>0</v>
      </c>
      <c r="AC66" s="1162">
        <v>0</v>
      </c>
      <c r="AD66" s="1162">
        <v>24</v>
      </c>
      <c r="AE66" s="1162">
        <v>0</v>
      </c>
      <c r="AF66" s="1162">
        <v>24</v>
      </c>
      <c r="AG66" s="1162">
        <v>24</v>
      </c>
      <c r="AH66" s="1162">
        <v>11</v>
      </c>
      <c r="AI66" s="1162">
        <v>3</v>
      </c>
      <c r="AJ66" s="1162">
        <v>11</v>
      </c>
      <c r="AK66" s="1162">
        <v>0</v>
      </c>
      <c r="AL66" s="1162">
        <v>4</v>
      </c>
      <c r="AM66" s="1162">
        <v>115</v>
      </c>
      <c r="AN66" s="518">
        <v>10</v>
      </c>
      <c r="AO66" s="518">
        <v>10</v>
      </c>
      <c r="AP66" s="518">
        <v>10</v>
      </c>
      <c r="AQ66" s="518">
        <v>10</v>
      </c>
      <c r="AR66" s="518">
        <v>10</v>
      </c>
      <c r="AS66" s="1162">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FC61F6-93C1-75DA-F11A-263453229761}"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2404" width="3.7109375" hidden="1" customWidth="1"/>
    <col min="17" max="18" style="351" width="3.00390625" customWidth="1"/>
    <col min="19" max="19" style="2414" width="12.00390625" customWidth="1"/>
    <col min="20" max="20" style="1642" width="31.00390625" customWidth="1"/>
    <col min="21" max="21" style="1642" width="0.140625" customWidth="1"/>
    <col min="22" max="22" style="1642" width="24.7109375" hidden="1" customWidth="1"/>
    <col min="23" max="23" style="1642" width="0.140625" hidden="1" customWidth="1"/>
    <col min="24" max="25" style="1642" width="24.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24.7109375" customWidth="1"/>
    <col min="31" max="31" style="1642" width="0.140625" customWidth="1"/>
    <col min="32" max="33" style="1642" width="24.00390625" customWidth="1"/>
    <col min="34" max="34" style="1642" width="11.00390625" customWidth="1"/>
    <col min="35" max="35" style="1642" width="3.7109375" customWidth="1"/>
    <col min="36" max="36" style="1642" width="11.00390625" customWidth="1"/>
    <col min="37" max="37" style="1642" width="8.57421875" hidden="1" customWidth="1"/>
    <col min="38" max="38" style="1642" width="4.00390625" customWidth="1"/>
    <col min="39" max="39" style="1642" width="115.00390625" customWidth="1"/>
    <col min="40" max="44" style="1649" width="10.00390625" customWidth="1"/>
    <col min="45" max="45" style="1642" width="10.57421875" hidden="1"/>
  </cols>
  <sheetData>
    <row customHeight="1" ht="22.5" hidden="1">
      <c r="Y1" s="334"/>
      <c r="Z1" s="334"/>
      <c r="AG1" s="334"/>
      <c r="AH1" s="334"/>
      <c r="AS1" s="1162" t="s">
        <v>14</v>
      </c>
    </row>
    <row customHeight="1" ht="21" hidden="1">
      <c r="A2" s="1370"/>
      <c r="B2" s="1370"/>
      <c r="C2" s="1370"/>
      <c r="D2" s="1370"/>
      <c r="E2" s="2265">
        <v>1</v>
      </c>
      <c r="F2" s="1370"/>
      <c r="G2" s="1370"/>
      <c r="H2" s="1370"/>
      <c r="I2" s="1370"/>
      <c r="J2" s="1370"/>
      <c r="K2" s="1370"/>
      <c r="L2" s="1371"/>
      <c r="M2" s="1372"/>
      <c r="N2" s="1372"/>
      <c r="O2" s="1372"/>
      <c r="P2" s="368"/>
      <c r="Q2" s="367"/>
      <c r="R2" s="362"/>
      <c r="S2" s="1343">
        <f>INDEX(PT_DIFFERENTIATION_NUM_NTAR,MATCH(A2,PT_DIFFERENTIATION_NTAR_ID,0))</f>
      </c>
      <c r="T2" s="305" t="s">
        <v>215</v>
      </c>
      <c r="U2" s="307"/>
      <c r="V2" s="2249"/>
      <c r="W2" s="2250"/>
      <c r="X2" s="2250"/>
      <c r="Y2" s="2250"/>
      <c r="Z2" s="2250"/>
      <c r="AA2" s="2250"/>
      <c r="AB2" s="2250"/>
      <c r="AC2" s="2251"/>
      <c r="AD2" s="2249">
        <f>INDEX(PT_DIFFERENTIATION_NTAR,MATCH(A2,PT_DIFFERENTIATION_NTAR_ID,0))</f>
      </c>
      <c r="AE2" s="2250"/>
      <c r="AF2" s="2250"/>
      <c r="AG2" s="2250"/>
      <c r="AH2" s="2250"/>
      <c r="AI2" s="2250"/>
      <c r="AJ2" s="2250"/>
      <c r="AK2" s="2250"/>
      <c r="AL2" s="2251"/>
      <c r="AM2" s="1265" t="s">
        <v>559</v>
      </c>
      <c r="AO2" s="507"/>
      <c r="AP2" s="507" t="str">
        <f>IF(T2="","",T2)</f>
        <v>Наименование тарифа</v>
      </c>
      <c r="AQ2" s="507"/>
      <c r="AR2" s="507"/>
      <c r="AS2" s="1162">
        <v>0</v>
      </c>
    </row>
    <row customHeight="1" ht="21" hidden="1">
      <c r="A3" s="1370"/>
      <c r="B3" s="1370"/>
      <c r="C3" s="1370"/>
      <c r="D3" s="1370"/>
      <c r="E3" s="2266"/>
      <c r="F3" s="2265">
        <v>1</v>
      </c>
      <c r="G3" s="1370"/>
      <c r="H3" s="1370"/>
      <c r="I3" s="1370"/>
      <c r="J3" s="1370"/>
      <c r="K3" s="1370"/>
      <c r="L3" s="1371"/>
      <c r="M3" s="1372"/>
      <c r="N3" s="1372"/>
      <c r="O3" s="1372"/>
      <c r="P3" s="1339"/>
      <c r="Q3" s="359"/>
      <c r="R3" s="360"/>
      <c r="S3" s="1343">
        <f>INDEX(PT_DIFFERENTIATION_NUM_TER,MATCH(B3,PT_DIFFERENTIATION_TER_ID,0))</f>
      </c>
      <c r="T3" s="315" t="s">
        <v>560</v>
      </c>
      <c r="U3" s="307"/>
      <c r="V3" s="2249"/>
      <c r="W3" s="2250"/>
      <c r="X3" s="2250"/>
      <c r="Y3" s="2250"/>
      <c r="Z3" s="2250"/>
      <c r="AA3" s="2250"/>
      <c r="AB3" s="2250"/>
      <c r="AC3" s="2251"/>
      <c r="AD3" s="2249">
        <f>INDEX(PT_DIFFERENTIATION_TER,MATCH(B3,PT_DIFFERENTIATION_TER_ID,0))</f>
      </c>
      <c r="AE3" s="2250"/>
      <c r="AF3" s="2250"/>
      <c r="AG3" s="2250"/>
      <c r="AH3" s="2250"/>
      <c r="AI3" s="2250"/>
      <c r="AJ3" s="2250"/>
      <c r="AK3" s="2250"/>
      <c r="AL3" s="2251"/>
      <c r="AM3" s="1265" t="s">
        <v>561</v>
      </c>
      <c r="AO3" s="507"/>
      <c r="AP3" s="507" t="str">
        <f>IF(T3="","",T3)</f>
        <v>Территория действия тарифа</v>
      </c>
      <c r="AQ3" s="507"/>
      <c r="AR3" s="507"/>
      <c r="AS3" s="1162">
        <v>0</v>
      </c>
    </row>
    <row customHeight="1" ht="23.25" hidden="1">
      <c r="A4" s="1370"/>
      <c r="B4" s="1370"/>
      <c r="C4" s="1370"/>
      <c r="D4" s="1370"/>
      <c r="E4" s="2266"/>
      <c r="F4" s="2266"/>
      <c r="G4" s="2265">
        <v>1</v>
      </c>
      <c r="H4" s="1370"/>
      <c r="I4" s="1370"/>
      <c r="J4" s="1370"/>
      <c r="K4" s="1370"/>
      <c r="L4" s="1371"/>
      <c r="M4" s="1372"/>
      <c r="N4" s="1372"/>
      <c r="O4" s="1372"/>
      <c r="P4" s="361"/>
      <c r="Q4" s="359"/>
      <c r="R4" s="360"/>
      <c r="S4" s="1343">
        <f>INDEX(PT_DIFFERENTIATION_NUM_CS,MATCH(C4,PT_DIFFERENTIATION_CS_ID,0))</f>
      </c>
      <c r="T4" s="316" t="s">
        <v>562</v>
      </c>
      <c r="U4" s="307"/>
      <c r="V4" s="2249"/>
      <c r="W4" s="2250"/>
      <c r="X4" s="2250"/>
      <c r="Y4" s="2250"/>
      <c r="Z4" s="2250"/>
      <c r="AA4" s="2250"/>
      <c r="AB4" s="2250"/>
      <c r="AC4" s="2251"/>
      <c r="AD4" s="2249">
        <f>INDEX(PT_DIFFERENTIATION_CS,MATCH(C4,PT_DIFFERENTIATION_CS_ID,0))</f>
      </c>
      <c r="AE4" s="2250"/>
      <c r="AF4" s="2250"/>
      <c r="AG4" s="2250"/>
      <c r="AH4" s="2250"/>
      <c r="AI4" s="2250"/>
      <c r="AJ4" s="2250"/>
      <c r="AK4" s="2250"/>
      <c r="AL4" s="2251"/>
      <c r="AM4" s="1265" t="s">
        <v>563</v>
      </c>
      <c r="AO4" s="507"/>
      <c r="AP4" s="507" t="str">
        <f>IF(T4="","",T4)</f>
        <v>Наименование системы теплоснабжения </v>
      </c>
      <c r="AQ4" s="507"/>
      <c r="AR4" s="507"/>
      <c r="AS4" s="1162">
        <v>0</v>
      </c>
    </row>
    <row customHeight="1" ht="21" hidden="1">
      <c r="A5" s="1370"/>
      <c r="B5" s="1370"/>
      <c r="C5" s="1370"/>
      <c r="D5" s="1370"/>
      <c r="E5" s="2266"/>
      <c r="F5" s="2266"/>
      <c r="G5" s="2266"/>
      <c r="H5" s="2265">
        <v>1</v>
      </c>
      <c r="I5" s="1370"/>
      <c r="J5" s="1370"/>
      <c r="K5" s="1370"/>
      <c r="L5" s="1371"/>
      <c r="M5" s="1372"/>
      <c r="N5" s="1372"/>
      <c r="O5" s="1372"/>
      <c r="P5" s="361"/>
      <c r="Q5" s="359"/>
      <c r="R5" s="360"/>
      <c r="S5" s="1343">
        <f>INDEX(PT_DIFFERENTIATION_NUM_IST_TE,MATCH(D5,PT_DIFFERENTIATION_IST_TE_ID,0))</f>
      </c>
      <c r="T5" s="317" t="s">
        <v>564</v>
      </c>
      <c r="U5" s="307"/>
      <c r="V5" s="2249"/>
      <c r="W5" s="2250"/>
      <c r="X5" s="2250"/>
      <c r="Y5" s="2250"/>
      <c r="Z5" s="2250"/>
      <c r="AA5" s="2250"/>
      <c r="AB5" s="2250"/>
      <c r="AC5" s="2251"/>
      <c r="AD5" s="2249">
        <f>INDEX(PT_DIFFERENTIATION_IST_TE,MATCH(D5,PT_DIFFERENTIATION_IST_TE_ID,0))</f>
      </c>
      <c r="AE5" s="2250"/>
      <c r="AF5" s="2250"/>
      <c r="AG5" s="2250"/>
      <c r="AH5" s="2250"/>
      <c r="AI5" s="2250"/>
      <c r="AJ5" s="2250"/>
      <c r="AK5" s="2250"/>
      <c r="AL5" s="2251"/>
      <c r="AM5" s="1265" t="s">
        <v>565</v>
      </c>
      <c r="AO5" s="507"/>
      <c r="AP5" s="507" t="str">
        <f>IF(T5="","",T5)</f>
        <v>Источник тепловой энергии  </v>
      </c>
      <c r="AQ5" s="507"/>
      <c r="AR5" s="507"/>
      <c r="AS5" s="1162">
        <v>0</v>
      </c>
    </row>
    <row customHeight="1" ht="14.25" hidden="1">
      <c r="A6" s="1370"/>
      <c r="B6" s="1370"/>
      <c r="C6" s="1370"/>
      <c r="D6" s="1370"/>
      <c r="E6" s="2266"/>
      <c r="F6" s="2266"/>
      <c r="G6" s="2266"/>
      <c r="H6" s="2266"/>
      <c r="I6" s="2263">
        <f>S5&amp;".1"</f>
      </c>
      <c r="J6" s="1370"/>
      <c r="K6" s="1370"/>
      <c r="L6" s="1371" t="s">
        <v>566</v>
      </c>
      <c r="M6" s="544"/>
      <c r="P6" s="2264">
        <v>1</v>
      </c>
      <c r="Q6" s="1338"/>
      <c r="R6" s="363"/>
      <c r="S6" s="1049"/>
      <c r="T6" s="1390"/>
      <c r="U6" s="1391"/>
      <c r="V6" s="2303"/>
      <c r="W6" s="2304"/>
      <c r="X6" s="2304"/>
      <c r="Y6" s="2304"/>
      <c r="Z6" s="2304"/>
      <c r="AA6" s="2304"/>
      <c r="AB6" s="2304"/>
      <c r="AC6" s="2305"/>
      <c r="AD6" s="2303"/>
      <c r="AE6" s="2304"/>
      <c r="AF6" s="2304"/>
      <c r="AG6" s="2304"/>
      <c r="AH6" s="2304"/>
      <c r="AI6" s="2304"/>
      <c r="AJ6" s="2304"/>
      <c r="AK6" s="2304"/>
      <c r="AL6" s="2305"/>
      <c r="AM6" s="1392"/>
      <c r="AO6" s="507"/>
      <c r="AP6" s="507" t="str">
        <f>IF(T6="","",T6)</f>
        <v/>
      </c>
      <c r="AQ6" s="507"/>
      <c r="AR6" s="507"/>
      <c r="AS6" s="1162">
        <v>0</v>
      </c>
    </row>
    <row customHeight="1" ht="21" hidden="1">
      <c r="A7" s="1370"/>
      <c r="B7" s="1370"/>
      <c r="C7" s="1370"/>
      <c r="D7" s="1370"/>
      <c r="E7" s="2266"/>
      <c r="F7" s="2266"/>
      <c r="G7" s="2266"/>
      <c r="H7" s="2266"/>
      <c r="I7" s="2293"/>
      <c r="J7" s="2263">
        <f>I6&amp;".1"</f>
      </c>
      <c r="K7" s="1370"/>
      <c r="L7" s="1371" t="s">
        <v>569</v>
      </c>
      <c r="M7" s="544"/>
      <c r="N7" s="1373"/>
      <c r="P7" s="2264"/>
      <c r="Q7" s="2264">
        <v>1</v>
      </c>
      <c r="R7" s="364"/>
      <c r="S7" s="1343">
        <f>$J7</f>
      </c>
      <c r="T7" s="293" t="s">
        <v>570</v>
      </c>
      <c r="U7" s="307"/>
      <c r="V7" s="2252"/>
      <c r="W7" s="2253"/>
      <c r="X7" s="2253"/>
      <c r="Y7" s="2253"/>
      <c r="Z7" s="2253"/>
      <c r="AA7" s="2253"/>
      <c r="AB7" s="2253"/>
      <c r="AC7" s="2254"/>
      <c r="AD7" s="2252"/>
      <c r="AE7" s="2253"/>
      <c r="AF7" s="2253"/>
      <c r="AG7" s="2253"/>
      <c r="AH7" s="2253"/>
      <c r="AI7" s="2253"/>
      <c r="AJ7" s="2253"/>
      <c r="AK7" s="2253"/>
      <c r="AL7" s="2254"/>
      <c r="AM7" s="1265" t="s">
        <v>571</v>
      </c>
      <c r="AO7" s="507"/>
      <c r="AP7" s="507" t="str">
        <f>IF(T7="","",T7)</f>
        <v>Группа потребителей</v>
      </c>
      <c r="AQ7" s="507"/>
      <c r="AR7" s="507"/>
      <c r="AS7" s="1162">
        <v>0</v>
      </c>
    </row>
    <row customHeight="1" ht="21" hidden="1">
      <c r="A8" s="1370"/>
      <c r="B8" s="1370"/>
      <c r="C8" s="1370"/>
      <c r="D8" s="1370"/>
      <c r="E8" s="2266"/>
      <c r="F8" s="2266"/>
      <c r="G8" s="2266"/>
      <c r="H8" s="2266"/>
      <c r="I8" s="2293"/>
      <c r="J8" s="2293"/>
      <c r="K8" s="2263">
        <f>J7&amp;".1"</f>
      </c>
      <c r="L8" s="1371" t="s">
        <v>572</v>
      </c>
      <c r="M8" s="544"/>
      <c r="N8" s="1373"/>
      <c r="O8" s="1373"/>
      <c r="P8" s="2264"/>
      <c r="Q8" s="2264"/>
      <c r="R8" s="364">
        <v>1</v>
      </c>
      <c r="S8" s="1343">
        <f>$K8</f>
      </c>
      <c r="T8" s="1354"/>
      <c r="U8" s="307"/>
      <c r="V8" s="758"/>
      <c r="W8" s="332"/>
      <c r="X8" s="758"/>
      <c r="Y8" s="1264"/>
      <c r="Z8" s="2272"/>
      <c r="AA8" s="2114" t="s">
        <v>66</v>
      </c>
      <c r="AB8" s="2272"/>
      <c r="AC8" s="2114" t="s">
        <v>66</v>
      </c>
      <c r="AD8" s="758"/>
      <c r="AE8" s="332"/>
      <c r="AF8" s="758"/>
      <c r="AG8" s="1264"/>
      <c r="AH8" s="2272"/>
      <c r="AI8" s="2114" t="s">
        <v>66</v>
      </c>
      <c r="AJ8" s="2272"/>
      <c r="AK8" s="2114" t="s">
        <v>66</v>
      </c>
      <c r="AL8" s="332"/>
      <c r="AM8" s="2260" t="s">
        <v>573</v>
      </c>
      <c r="AN8" s="518">
        <f>STRCHECKDATE(V9:AL9)</f>
      </c>
      <c r="AO8" s="507"/>
      <c r="AP8" s="507" t="str">
        <f>IF(T8="","",T8)</f>
        <v/>
      </c>
      <c r="AQ8" s="507"/>
      <c r="AR8" s="507"/>
      <c r="AS8" s="1162">
        <v>0</v>
      </c>
    </row>
    <row customHeight="1" ht="14.25" hidden="1">
      <c r="A9" s="1370"/>
      <c r="B9" s="1370"/>
      <c r="C9" s="1370"/>
      <c r="D9" s="1370"/>
      <c r="E9" s="2266"/>
      <c r="F9" s="2266"/>
      <c r="G9" s="2266"/>
      <c r="H9" s="2266"/>
      <c r="I9" s="2293"/>
      <c r="J9" s="2293"/>
      <c r="K9" s="2263"/>
      <c r="L9" s="1371"/>
      <c r="M9" s="544"/>
      <c r="N9" s="1373"/>
      <c r="O9" s="1373"/>
      <c r="P9" s="2264"/>
      <c r="Q9" s="2264"/>
      <c r="R9" s="364"/>
      <c r="S9" s="1349"/>
      <c r="T9" s="307"/>
      <c r="U9" s="307"/>
      <c r="V9" s="332"/>
      <c r="W9" s="332"/>
      <c r="X9" s="332"/>
      <c r="Y9" s="335" t="str">
        <f>Z8&amp;"-"&amp;AB8</f>
        <v>-</v>
      </c>
      <c r="Z9" s="2273"/>
      <c r="AA9" s="2114"/>
      <c r="AB9" s="2273"/>
      <c r="AC9" s="2114"/>
      <c r="AD9" s="332"/>
      <c r="AE9" s="332"/>
      <c r="AF9" s="332"/>
      <c r="AG9" s="335" t="str">
        <f>AH8&amp;"-"&amp;AJ8</f>
        <v>-</v>
      </c>
      <c r="AH9" s="2273"/>
      <c r="AI9" s="2114"/>
      <c r="AJ9" s="2273"/>
      <c r="AK9" s="2114"/>
      <c r="AL9" s="332"/>
      <c r="AM9" s="2261"/>
      <c r="AO9" s="507"/>
      <c r="AP9" s="507" t="str">
        <f>IF(T9="","",T9)</f>
        <v/>
      </c>
      <c r="AQ9" s="507"/>
      <c r="AR9" s="507"/>
      <c r="AS9" s="1162">
        <v>0</v>
      </c>
    </row>
    <row customHeight="1" ht="15" hidden="1">
      <c r="A10" s="1370"/>
      <c r="B10" s="1370"/>
      <c r="C10" s="1370"/>
      <c r="D10" s="1370"/>
      <c r="E10" s="2266"/>
      <c r="F10" s="2266"/>
      <c r="G10" s="2266"/>
      <c r="H10" s="2266"/>
      <c r="I10" s="2293"/>
      <c r="J10" s="2263"/>
      <c r="K10" s="1370"/>
      <c r="L10" s="1371"/>
      <c r="M10" s="544"/>
      <c r="N10" s="1373"/>
      <c r="P10" s="2264"/>
      <c r="Q10" s="2264"/>
      <c r="R10" s="363"/>
      <c r="S10" s="1285"/>
      <c r="T10" s="294" t="s">
        <v>574</v>
      </c>
      <c r="U10" s="374"/>
      <c r="V10" s="374"/>
      <c r="W10" s="374"/>
      <c r="X10" s="374"/>
      <c r="Y10" s="374"/>
      <c r="Z10" s="374"/>
      <c r="AA10" s="374"/>
      <c r="AB10" s="374"/>
      <c r="AC10" s="374"/>
      <c r="AD10" s="374"/>
      <c r="AE10" s="374"/>
      <c r="AF10" s="374"/>
      <c r="AG10" s="374"/>
      <c r="AH10" s="374"/>
      <c r="AI10" s="374"/>
      <c r="AJ10" s="374"/>
      <c r="AK10" s="374"/>
      <c r="AL10" s="331"/>
      <c r="AM10" s="2262"/>
      <c r="AO10" s="507"/>
      <c r="AP10" s="507" t="str">
        <f>IF(T10="","",T10)</f>
        <v>Добавить вид теплоносителя (параметры теплоносителя)</v>
      </c>
      <c r="AQ10" s="507"/>
      <c r="AR10" s="507"/>
      <c r="AS10" s="1162">
        <v>0</v>
      </c>
    </row>
    <row customHeight="1" ht="11.25" hidden="1">
      <c r="A11" s="1370"/>
      <c r="B11" s="1370"/>
      <c r="C11" s="1370"/>
      <c r="D11" s="1370"/>
      <c r="E11" s="2266"/>
      <c r="F11" s="2266"/>
      <c r="G11" s="2266"/>
      <c r="H11" s="2266"/>
      <c r="I11" s="2263"/>
      <c r="J11" s="1370"/>
      <c r="K11" s="1370"/>
      <c r="L11" s="1371"/>
      <c r="M11" s="544"/>
      <c r="P11" s="2264"/>
      <c r="Q11" s="1338"/>
      <c r="R11" s="363"/>
      <c r="S11" s="1285"/>
      <c r="T11" s="372" t="s">
        <v>575</v>
      </c>
      <c r="U11" s="374"/>
      <c r="V11" s="374"/>
      <c r="W11" s="374"/>
      <c r="X11" s="374"/>
      <c r="Y11" s="374"/>
      <c r="Z11" s="374"/>
      <c r="AA11" s="374"/>
      <c r="AB11" s="374"/>
      <c r="AC11" s="373"/>
      <c r="AD11" s="374"/>
      <c r="AE11" s="374"/>
      <c r="AF11" s="374"/>
      <c r="AG11" s="374"/>
      <c r="AH11" s="374"/>
      <c r="AI11" s="374"/>
      <c r="AJ11" s="374"/>
      <c r="AK11" s="373"/>
      <c r="AL11" s="374"/>
      <c r="AM11" s="310"/>
      <c r="AO11" s="507"/>
      <c r="AP11" s="507" t="str">
        <f>IF(T11="","",T11)</f>
        <v>Добавить группу потребителей</v>
      </c>
      <c r="AQ11" s="507"/>
      <c r="AR11" s="507"/>
      <c r="AS11" s="1162">
        <v>0</v>
      </c>
    </row>
    <row customHeight="1" ht="14.25" hidden="1">
      <c r="A12" s="1370"/>
      <c r="B12" s="1370"/>
      <c r="C12" s="1370"/>
      <c r="D12" s="1370"/>
      <c r="E12" s="2266"/>
      <c r="F12" s="2266"/>
      <c r="G12" s="2266"/>
      <c r="H12" s="2265"/>
      <c r="I12" s="1370"/>
      <c r="J12" s="1370"/>
      <c r="K12" s="1370"/>
      <c r="L12" s="1371"/>
      <c r="M12" s="1372"/>
      <c r="N12" s="1372"/>
      <c r="O12" s="544"/>
      <c r="P12" s="367"/>
      <c r="Q12" s="382"/>
      <c r="R12" s="362"/>
      <c r="S12" s="1393"/>
      <c r="T12" s="1394"/>
      <c r="U12" s="1395"/>
      <c r="V12" s="1395"/>
      <c r="W12" s="1395"/>
      <c r="X12" s="1395"/>
      <c r="Y12" s="1395"/>
      <c r="Z12" s="1395"/>
      <c r="AA12" s="1395"/>
      <c r="AB12" s="1395"/>
      <c r="AC12" s="1395"/>
      <c r="AD12" s="1395"/>
      <c r="AE12" s="1395"/>
      <c r="AF12" s="1395"/>
      <c r="AG12" s="1395"/>
      <c r="AH12" s="1395"/>
      <c r="AI12" s="1395"/>
      <c r="AJ12" s="1395"/>
      <c r="AK12" s="1395"/>
      <c r="AL12" s="1395"/>
      <c r="AM12" s="1396"/>
      <c r="AO12" s="507"/>
      <c r="AP12" s="507" t="str">
        <f>IF(T12="","",T12)</f>
        <v/>
      </c>
      <c r="AQ12" s="507"/>
      <c r="AR12" s="507"/>
      <c r="AS12" s="1162">
        <v>0</v>
      </c>
    </row>
    <row s="1649" customFormat="1" customHeight="1" ht="14.25" hidden="1">
      <c r="A13" s="1321"/>
      <c r="B13" s="1321"/>
      <c r="C13" s="1321"/>
      <c r="D13" s="1321"/>
      <c r="E13" s="2266"/>
      <c r="F13" s="2266"/>
      <c r="G13" s="2265"/>
      <c r="H13" s="1321"/>
      <c r="I13" s="1321"/>
      <c r="J13" s="1321"/>
      <c r="K13" s="1321"/>
      <c r="L13" s="1346"/>
      <c r="M13" s="1322"/>
      <c r="N13" s="1322"/>
      <c r="P13" s="1323"/>
      <c r="Q13" s="1324"/>
      <c r="R13" s="1323"/>
      <c r="S13" s="1325"/>
      <c r="T13" s="1326" t="s">
        <v>577</v>
      </c>
      <c r="U13" s="1327"/>
      <c r="V13" s="1327"/>
      <c r="W13" s="1327"/>
      <c r="X13" s="1327"/>
      <c r="Y13" s="1327"/>
      <c r="Z13" s="1327"/>
      <c r="AA13" s="1327"/>
      <c r="AB13" s="1327"/>
      <c r="AC13" s="1327"/>
      <c r="AD13" s="1327"/>
      <c r="AE13" s="1327"/>
      <c r="AF13" s="1327"/>
      <c r="AG13" s="1327"/>
      <c r="AH13" s="1327"/>
      <c r="AI13" s="1327"/>
      <c r="AJ13" s="1327"/>
      <c r="AK13" s="1327"/>
      <c r="AL13" s="1327"/>
      <c r="AM13" s="1327"/>
      <c r="AO13" s="796"/>
      <c r="AP13" s="796" t="str">
        <f>IF(T13="","",T13)</f>
        <v>Добавить источник для дифференциации</v>
      </c>
      <c r="AQ13" s="796"/>
      <c r="AR13" s="796"/>
      <c r="AS13" s="525">
        <v>0</v>
      </c>
    </row>
    <row s="1649" customFormat="1" customHeight="1" ht="14.25" hidden="1">
      <c r="A14" s="1321"/>
      <c r="B14" s="1321"/>
      <c r="C14" s="1321"/>
      <c r="D14" s="1321"/>
      <c r="E14" s="2266"/>
      <c r="F14" s="2265"/>
      <c r="G14" s="1321"/>
      <c r="H14" s="1321"/>
      <c r="I14" s="1321"/>
      <c r="J14" s="1321"/>
      <c r="K14" s="1321"/>
      <c r="L14" s="1346"/>
      <c r="M14" s="1328"/>
      <c r="N14" s="1328"/>
      <c r="P14" s="1323"/>
      <c r="Q14" s="1324"/>
      <c r="R14" s="1323"/>
      <c r="S14" s="1329"/>
      <c r="T14" s="1330" t="s">
        <v>316</v>
      </c>
      <c r="U14" s="1331"/>
      <c r="V14" s="1331"/>
      <c r="W14" s="1331"/>
      <c r="X14" s="1331"/>
      <c r="Y14" s="1331"/>
      <c r="Z14" s="1331"/>
      <c r="AA14" s="1331"/>
      <c r="AB14" s="1331"/>
      <c r="AC14" s="1331"/>
      <c r="AD14" s="1331"/>
      <c r="AE14" s="1331"/>
      <c r="AF14" s="1331"/>
      <c r="AG14" s="1331"/>
      <c r="AH14" s="1331"/>
      <c r="AI14" s="1331"/>
      <c r="AJ14" s="1331"/>
      <c r="AK14" s="1331"/>
      <c r="AL14" s="1331"/>
      <c r="AM14" s="1331"/>
      <c r="AO14" s="796"/>
      <c r="AP14" s="796" t="str">
        <f>IF(T14="","",T14)</f>
        <v>Добавить централизованную систему для дифференциации</v>
      </c>
      <c r="AQ14" s="796"/>
      <c r="AR14" s="796"/>
      <c r="AS14" s="525">
        <v>0</v>
      </c>
    </row>
    <row s="1649" customFormat="1" customHeight="1" ht="14.25" hidden="1">
      <c r="A15" s="1321"/>
      <c r="B15" s="1321"/>
      <c r="C15" s="1321"/>
      <c r="D15" s="1321"/>
      <c r="E15" s="2265"/>
      <c r="F15" s="1321"/>
      <c r="G15" s="1321"/>
      <c r="H15" s="1321"/>
      <c r="I15" s="1321"/>
      <c r="J15" s="1321"/>
      <c r="K15" s="1321"/>
      <c r="L15" s="1346"/>
      <c r="M15" s="1328"/>
      <c r="N15" s="1328"/>
      <c r="P15" s="1323"/>
      <c r="Q15" s="1324"/>
      <c r="R15" s="1323"/>
      <c r="S15" s="1329"/>
      <c r="T15" s="1332" t="s">
        <v>390</v>
      </c>
      <c r="U15" s="1331"/>
      <c r="V15" s="1331"/>
      <c r="W15" s="1331"/>
      <c r="X15" s="1331"/>
      <c r="Y15" s="1331"/>
      <c r="Z15" s="1331"/>
      <c r="AA15" s="1331"/>
      <c r="AB15" s="1331"/>
      <c r="AC15" s="1331"/>
      <c r="AD15" s="1331"/>
      <c r="AE15" s="1331"/>
      <c r="AF15" s="1331"/>
      <c r="AG15" s="1331"/>
      <c r="AH15" s="1331"/>
      <c r="AI15" s="1331"/>
      <c r="AJ15" s="1331"/>
      <c r="AK15" s="1331"/>
      <c r="AL15" s="1331"/>
      <c r="AM15" s="1331"/>
      <c r="AO15" s="796"/>
      <c r="AP15" s="796" t="str">
        <f>IF(T15="","",T15)</f>
        <v>Добавить территорию для дифференциации</v>
      </c>
      <c r="AQ15" s="796"/>
      <c r="AR15" s="796"/>
      <c r="AS15" s="525">
        <v>0</v>
      </c>
    </row>
    <row customHeight="1" ht="14.25" hidden="1">
      <c r="AC16" s="334"/>
      <c r="AK16" s="334"/>
      <c r="AS16" s="1162">
        <v>0</v>
      </c>
    </row>
    <row customHeight="1" ht="14.25" hidden="1">
      <c r="AD17" s="1367"/>
      <c r="AE17" s="1367"/>
      <c r="AF17" s="1367"/>
      <c r="AG17" s="1368"/>
      <c r="AH17" s="2274"/>
      <c r="AI17" s="2275" t="s">
        <v>66</v>
      </c>
      <c r="AJ17" s="2274"/>
      <c r="AK17" s="2275" t="s">
        <v>66</v>
      </c>
      <c r="AS17" s="1162">
        <v>0</v>
      </c>
    </row>
    <row customHeight="1" ht="14.25" hidden="1">
      <c r="AD18" s="1367"/>
      <c r="AE18" s="1367"/>
      <c r="AF18" s="1367"/>
      <c r="AG18" s="335" t="str">
        <f>AH17&amp;"-"&amp;AJ17</f>
        <v>-</v>
      </c>
      <c r="AH18" s="2275"/>
      <c r="AI18" s="2275"/>
      <c r="AJ18" s="2275"/>
      <c r="AK18" s="2275"/>
      <c r="AS18" s="1162">
        <v>0</v>
      </c>
    </row>
    <row customHeight="1" ht="14.25" hidden="1">
      <c r="AK19" s="334"/>
      <c r="AS19" s="1162">
        <v>0</v>
      </c>
    </row>
    <row s="1373" customFormat="1" customHeight="1" ht="22.5" hidden="1">
      <c r="L20" s="1336"/>
      <c r="M20" s="1369"/>
      <c r="N20" s="1369"/>
      <c r="O20" s="1374" t="s">
        <v>578</v>
      </c>
      <c r="P20" s="1369"/>
      <c r="Q20" s="1378"/>
      <c r="R20" s="1378"/>
      <c r="S20" s="736"/>
      <c r="Z20" s="1374"/>
      <c r="AB20" s="1374"/>
      <c r="AC20" s="1373"/>
      <c r="AH20" s="1374"/>
      <c r="AJ20" s="1374"/>
      <c r="AK20" s="1373"/>
      <c r="AN20" s="518"/>
      <c r="AO20" s="518"/>
      <c r="AP20" s="518"/>
      <c r="AQ20" s="518"/>
      <c r="AR20" s="518"/>
      <c r="AS20" s="1167">
        <v>0</v>
      </c>
    </row>
    <row s="1373" customFormat="1" customHeight="1" ht="14.25" hidden="1">
      <c r="L21" s="1336"/>
      <c r="M21" s="1369"/>
      <c r="N21" s="1369"/>
      <c r="O21" s="1369"/>
      <c r="P21" s="1369"/>
      <c r="Q21" s="1378"/>
      <c r="R21" s="1378"/>
      <c r="S21" s="736"/>
      <c r="AC21" s="1373"/>
      <c r="AK21" s="1373"/>
      <c r="AN21" s="518"/>
      <c r="AO21" s="518"/>
      <c r="AP21" s="518"/>
      <c r="AQ21" s="518"/>
      <c r="AR21" s="518"/>
      <c r="AS21" s="1167">
        <v>0</v>
      </c>
    </row>
    <row s="1373" customFormat="1" customHeight="1" ht="14.25" hidden="1">
      <c r="L22" s="1336"/>
      <c r="M22" s="1369"/>
      <c r="N22" s="1369"/>
      <c r="O22" s="1371" t="s">
        <v>579</v>
      </c>
      <c r="P22" s="1369"/>
      <c r="Q22" s="1378"/>
      <c r="R22" s="1378"/>
      <c r="S22" s="736"/>
      <c r="T22" s="1167" t="s">
        <v>580</v>
      </c>
      <c r="AA22" s="193" t="s">
        <v>581</v>
      </c>
      <c r="AC22" s="193" t="s">
        <v>582</v>
      </c>
      <c r="AD22" s="1167" t="s">
        <v>580</v>
      </c>
      <c r="AI22" s="193" t="s">
        <v>583</v>
      </c>
      <c r="AK22" s="193" t="s">
        <v>582</v>
      </c>
      <c r="AN22" s="518"/>
      <c r="AO22" s="518"/>
      <c r="AP22" s="518"/>
      <c r="AQ22" s="518"/>
      <c r="AR22" s="518"/>
      <c r="AS22" s="1167">
        <v>0</v>
      </c>
    </row>
    <row customHeight="1" ht="14.25" hidden="1">
      <c r="O23" s="1371"/>
      <c r="AS23" s="1162">
        <v>0</v>
      </c>
    </row>
    <row customHeight="1" ht="14.25" hidden="1">
      <c r="O24" s="1371"/>
      <c r="AS24" s="1162">
        <v>0</v>
      </c>
    </row>
    <row customHeight="1" ht="14.699999999999998">
      <c r="Q25" s="383"/>
      <c r="R25" s="383"/>
      <c r="S25" s="1282"/>
      <c r="T25" s="370"/>
      <c r="U25" s="370"/>
      <c r="V25" s="516"/>
      <c r="W25" s="516"/>
      <c r="X25" s="516"/>
      <c r="Y25" s="516"/>
      <c r="Z25" s="516"/>
      <c r="AA25" s="516"/>
      <c r="AB25" s="516"/>
      <c r="AC25" s="516"/>
      <c r="AD25" s="516"/>
      <c r="AE25" s="516"/>
      <c r="AF25" s="516"/>
      <c r="AG25" s="516"/>
      <c r="AH25" s="516"/>
      <c r="AI25" s="516"/>
      <c r="AJ25" s="516"/>
      <c r="AK25" s="516"/>
      <c r="AS25" s="1162">
        <v>14</v>
      </c>
    </row>
    <row customHeight="1" ht="53.54999999999999">
      <c r="Q26" s="383"/>
      <c r="R26" s="383"/>
      <c r="S26" s="225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5"/>
      <c r="U26" s="2255"/>
      <c r="V26" s="2255"/>
      <c r="W26" s="2255"/>
      <c r="X26" s="2255"/>
      <c r="Y26" s="2255"/>
      <c r="Z26" s="2255"/>
      <c r="AA26" s="2255"/>
      <c r="AB26" s="2255"/>
      <c r="AC26" s="2255"/>
      <c r="AD26" s="2255"/>
      <c r="AE26" s="2255"/>
      <c r="AF26" s="2255"/>
      <c r="AG26" s="2255"/>
      <c r="AH26" s="2255"/>
      <c r="AI26" s="2255"/>
      <c r="AJ26" s="2255"/>
      <c r="AK26" s="1250"/>
      <c r="AS26" s="1162">
        <v>51</v>
      </c>
    </row>
    <row customHeight="1" ht="14.699999999999998">
      <c r="Q27" s="383"/>
      <c r="R27" s="383"/>
      <c r="S27" s="2256" t="str">
        <f>IF(org=0,"Не определено",org)</f>
        <v>ГУП "Белоблводоканал"</v>
      </c>
      <c r="T27" s="2256"/>
      <c r="U27" s="2256"/>
      <c r="V27" s="2256"/>
      <c r="W27" s="2256"/>
      <c r="X27" s="2256"/>
      <c r="Y27" s="2256"/>
      <c r="Z27" s="2256"/>
      <c r="AA27" s="2256"/>
      <c r="AB27" s="2256"/>
      <c r="AC27" s="2256"/>
      <c r="AD27" s="2256"/>
      <c r="AE27" s="2256"/>
      <c r="AF27" s="2256"/>
      <c r="AG27" s="2256"/>
      <c r="AH27" s="2256"/>
      <c r="AI27" s="2256"/>
      <c r="AJ27" s="2256"/>
      <c r="AK27" s="1250"/>
      <c r="AS27" s="1162">
        <v>14</v>
      </c>
    </row>
    <row customHeight="1" ht="14.25" hidden="1">
      <c r="Q28" s="383"/>
      <c r="R28" s="383"/>
      <c r="S28" s="1282"/>
      <c r="T28" s="370"/>
      <c r="U28" s="370"/>
      <c r="V28" s="329"/>
      <c r="W28" s="329"/>
      <c r="X28" s="329"/>
      <c r="Y28" s="329"/>
      <c r="Z28" s="329"/>
      <c r="AA28" s="329"/>
      <c r="AB28" s="329"/>
      <c r="AC28" s="329"/>
      <c r="AD28" s="329"/>
      <c r="AE28" s="329"/>
      <c r="AF28" s="329"/>
      <c r="AG28" s="329"/>
      <c r="AH28" s="329"/>
      <c r="AI28" s="329"/>
      <c r="AJ28" s="329"/>
      <c r="AK28" s="329"/>
      <c r="AL28" s="516"/>
      <c r="AS28" s="1162">
        <v>0</v>
      </c>
    </row>
    <row s="1860" customFormat="1" customHeight="1" ht="25.5" hidden="1">
      <c r="A29" s="1375"/>
      <c r="B29" s="1375"/>
      <c r="C29" s="1375"/>
      <c r="D29" s="1375"/>
      <c r="E29" s="1375"/>
      <c r="F29" s="1375"/>
      <c r="G29" s="1375"/>
      <c r="H29" s="1375"/>
      <c r="I29" s="1375"/>
      <c r="J29" s="1375"/>
      <c r="K29" s="1375"/>
      <c r="L29" s="1376"/>
      <c r="M29" s="1375"/>
      <c r="N29" s="1375"/>
      <c r="O29" s="1375"/>
      <c r="S29" s="2257" t="s">
        <v>42</v>
      </c>
      <c r="T29" s="2257"/>
      <c r="U29" s="1379"/>
      <c r="V29" s="2258" t="str">
        <f>IF(TITLE_NAME_OR_PR_CHANGE="",IF(TITLE_NAME_OR_PR="","",TITLE_NAME_OR_PR),TITLE_NAME_OR_PR_CHANGE)</f>
        <v/>
      </c>
      <c r="W29" s="2258"/>
      <c r="X29" s="2258"/>
      <c r="Y29" s="2258"/>
      <c r="Z29" s="2258"/>
      <c r="AA29" s="2258"/>
      <c r="AB29" s="2258"/>
      <c r="AC29" s="333"/>
      <c r="AD29" s="2258" t="str">
        <f>IF(TITLE_NAME_OR_PR_CHANGE="",IF(TITLE_NAME_OR_PR="","",TITLE_NAME_OR_PR),TITLE_NAME_OR_PR_CHANGE)</f>
        <v/>
      </c>
      <c r="AE29" s="2258"/>
      <c r="AF29" s="2258"/>
      <c r="AG29" s="2258"/>
      <c r="AH29" s="2258"/>
      <c r="AI29" s="2258"/>
      <c r="AJ29" s="2258"/>
      <c r="AK29" s="333"/>
      <c r="AL29" s="333"/>
      <c r="AM29" s="287"/>
      <c r="AN29" s="375"/>
      <c r="AO29" s="375"/>
      <c r="AP29" s="375"/>
      <c r="AQ29" s="375"/>
      <c r="AR29" s="375"/>
      <c r="AS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584</v>
      </c>
      <c r="T30" s="2257"/>
      <c r="U30" s="1379"/>
      <c r="V30" s="2271" t="str">
        <f>IF(TITLE_DATE_PR_CHANGE="",IF(TITLE_DATE_PR="","",TITLE_DATE_PR),TITLE_DATE_PR_CHANGE)</f>
        <v>45432</v>
      </c>
      <c r="W30" s="2271"/>
      <c r="X30" s="2271"/>
      <c r="Y30" s="2271"/>
      <c r="Z30" s="2271"/>
      <c r="AA30" s="2271"/>
      <c r="AB30" s="2271"/>
      <c r="AC30" s="333"/>
      <c r="AD30" s="2271" t="str">
        <f>IF(TITLE_DATE_PR_CHANGE="",IF(TITLE_DATE_PR="","",TITLE_DATE_PR),TITLE_DATE_PR_CHANGE)</f>
        <v>45432</v>
      </c>
      <c r="AE30" s="2271"/>
      <c r="AF30" s="2271"/>
      <c r="AG30" s="2271"/>
      <c r="AH30" s="2271"/>
      <c r="AI30" s="2271"/>
      <c r="AJ30" s="2271"/>
      <c r="AK30" s="333"/>
      <c r="AL30" s="333"/>
      <c r="AM30" s="287"/>
      <c r="AN30" s="375"/>
      <c r="AO30" s="375"/>
      <c r="AP30" s="375"/>
      <c r="AQ30" s="375"/>
      <c r="AR30" s="375"/>
      <c r="AS30" s="425">
        <v>0</v>
      </c>
    </row>
    <row s="1860" customFormat="1" customHeight="1" ht="18.75" hidden="1">
      <c r="A31" s="1375"/>
      <c r="B31" s="1375"/>
      <c r="C31" s="1375"/>
      <c r="D31" s="1375"/>
      <c r="E31" s="1375"/>
      <c r="F31" s="1375"/>
      <c r="G31" s="1375"/>
      <c r="H31" s="1375"/>
      <c r="I31" s="1375"/>
      <c r="J31" s="1375"/>
      <c r="K31" s="1375"/>
      <c r="L31" s="1376"/>
      <c r="M31" s="1375"/>
      <c r="N31" s="1375"/>
      <c r="O31" s="1375"/>
      <c r="S31" s="2257" t="s">
        <v>585</v>
      </c>
      <c r="T31" s="2257"/>
      <c r="U31" s="1379"/>
      <c r="V31" s="2258" t="str">
        <f>IF(TITLE_NUMBER_PR_CHANGE="",IF(TITLE_NUMBER_PR="","",TITLE_NUMBER_PR),TITLE_NUMBER_PR_CHANGE)</f>
        <v>29-12/1427</v>
      </c>
      <c r="W31" s="2258"/>
      <c r="X31" s="2258"/>
      <c r="Y31" s="2258"/>
      <c r="Z31" s="2258"/>
      <c r="AA31" s="2258"/>
      <c r="AB31" s="2258"/>
      <c r="AC31" s="333"/>
      <c r="AD31" s="2258" t="str">
        <f>IF(TITLE_NUMBER_PR_CHANGE="",IF(TITLE_NUMBER_PR="","",TITLE_NUMBER_PR),TITLE_NUMBER_PR_CHANGE)</f>
        <v>29-12/1427</v>
      </c>
      <c r="AE31" s="2258"/>
      <c r="AF31" s="2258"/>
      <c r="AG31" s="2258"/>
      <c r="AH31" s="2258"/>
      <c r="AI31" s="2258"/>
      <c r="AJ31" s="2258"/>
      <c r="AK31" s="333"/>
      <c r="AL31" s="333"/>
      <c r="AM31" s="287"/>
      <c r="AN31" s="375"/>
      <c r="AO31" s="375"/>
      <c r="AP31" s="375"/>
      <c r="AQ31" s="375"/>
      <c r="AR31" s="375"/>
      <c r="AS31" s="425">
        <v>0</v>
      </c>
    </row>
    <row s="1860" customFormat="1" customHeight="1" ht="18.75" hidden="1">
      <c r="A32" s="1375"/>
      <c r="B32" s="1375"/>
      <c r="C32" s="1375"/>
      <c r="D32" s="1375"/>
      <c r="E32" s="1375"/>
      <c r="F32" s="1375"/>
      <c r="G32" s="1375"/>
      <c r="H32" s="1375"/>
      <c r="I32" s="1375"/>
      <c r="J32" s="1375"/>
      <c r="K32" s="1375"/>
      <c r="L32" s="1376"/>
      <c r="M32" s="1375"/>
      <c r="N32" s="1375"/>
      <c r="O32" s="1375"/>
      <c r="S32" s="2257" t="s">
        <v>43</v>
      </c>
      <c r="T32" s="2257"/>
      <c r="U32" s="1379"/>
      <c r="V32" s="2258" t="str">
        <f>IF(TITLE_IST_PUB_CHANGE="",IF(TITLE_IST_PUB="","",TITLE_IST_PUB),TITLE_IST_PUB_CHANGE)</f>
        <v/>
      </c>
      <c r="W32" s="2258"/>
      <c r="X32" s="2258"/>
      <c r="Y32" s="2258"/>
      <c r="Z32" s="2258"/>
      <c r="AA32" s="2258"/>
      <c r="AB32" s="2258"/>
      <c r="AC32" s="333"/>
      <c r="AD32" s="2258" t="str">
        <f>IF(TITLE_IST_PUB_CHANGE="",IF(TITLE_IST_PUB="","",TITLE_IST_PUB),TITLE_IST_PUB_CHANGE)</f>
        <v/>
      </c>
      <c r="AE32" s="2258"/>
      <c r="AF32" s="2258"/>
      <c r="AG32" s="2258"/>
      <c r="AH32" s="2258"/>
      <c r="AI32" s="2258"/>
      <c r="AJ32" s="2258"/>
      <c r="AK32" s="333"/>
      <c r="AL32" s="333"/>
      <c r="AM32" s="287"/>
      <c r="AN32" s="375"/>
      <c r="AO32" s="375"/>
      <c r="AP32" s="375"/>
      <c r="AQ32" s="375"/>
      <c r="AR32" s="375"/>
      <c r="AS32" s="425">
        <v>0</v>
      </c>
    </row>
    <row customHeight="1" ht="14.25">
      <c r="Q33" s="383"/>
      <c r="R33" s="383"/>
      <c r="S33" s="1282"/>
      <c r="T33" s="370"/>
      <c r="U33" s="370"/>
      <c r="V33" s="329"/>
      <c r="W33" s="329"/>
      <c r="X33" s="329"/>
      <c r="Y33" s="329"/>
      <c r="Z33" s="329"/>
      <c r="AA33" s="329"/>
      <c r="AB33" s="329"/>
      <c r="AC33" s="329"/>
      <c r="AD33" s="329"/>
      <c r="AE33" s="329"/>
      <c r="AF33" s="329"/>
      <c r="AG33" s="329"/>
      <c r="AH33" s="329"/>
      <c r="AI33" s="329"/>
      <c r="AJ33" s="329"/>
      <c r="AK33" s="329"/>
      <c r="AL33" s="516"/>
      <c r="AS33" s="1162">
        <v>0</v>
      </c>
    </row>
    <row s="1860" customFormat="1" customHeight="1" ht="18.75">
      <c r="A34" s="1375"/>
      <c r="B34" s="1375"/>
      <c r="C34" s="1375"/>
      <c r="D34" s="1375"/>
      <c r="E34" s="1375"/>
      <c r="F34" s="1375"/>
      <c r="G34" s="1375"/>
      <c r="H34" s="1375"/>
      <c r="I34" s="1375"/>
      <c r="J34" s="1375"/>
      <c r="K34" s="1375"/>
      <c r="L34" s="1376"/>
      <c r="M34" s="1375"/>
      <c r="N34" s="1375"/>
      <c r="O34" s="1375"/>
      <c r="S34" s="2257" t="s">
        <v>586</v>
      </c>
      <c r="T34" s="2257"/>
      <c r="U34" s="1379"/>
      <c r="V34" s="2271" t="str">
        <f>IF(TITLE_DATE_PR_CHANGE="",IF(TITLE_DATE_PR="","",TITLE_DATE_PR),TITLE_DATE_PR_CHANGE)</f>
        <v>45432</v>
      </c>
      <c r="W34" s="2271"/>
      <c r="X34" s="2271"/>
      <c r="Y34" s="2271"/>
      <c r="Z34" s="2271"/>
      <c r="AA34" s="2271"/>
      <c r="AB34" s="2271"/>
      <c r="AC34" s="333"/>
      <c r="AD34" s="2271" t="str">
        <f>IF(TITLE_DATE_PR_CHANGE="",IF(TITLE_DATE_PR="","",TITLE_DATE_PR),TITLE_DATE_PR_CHANGE)</f>
        <v>45432</v>
      </c>
      <c r="AE34" s="2271"/>
      <c r="AF34" s="2271"/>
      <c r="AG34" s="2271"/>
      <c r="AH34" s="2271"/>
      <c r="AI34" s="2271"/>
      <c r="AJ34" s="2271"/>
      <c r="AK34" s="333"/>
      <c r="AL34" s="333"/>
      <c r="AM34" s="287"/>
      <c r="AN34" s="375"/>
      <c r="AO34" s="375"/>
      <c r="AP34" s="375"/>
      <c r="AQ34" s="375"/>
      <c r="AR34" s="375"/>
      <c r="AS34" s="425">
        <v>0</v>
      </c>
    </row>
    <row s="1860" customFormat="1" customHeight="1" ht="25.5">
      <c r="A35" s="1375"/>
      <c r="B35" s="1375"/>
      <c r="C35" s="1375"/>
      <c r="D35" s="1375"/>
      <c r="E35" s="1375"/>
      <c r="F35" s="1375"/>
      <c r="G35" s="1375"/>
      <c r="H35" s="1375"/>
      <c r="I35" s="1375"/>
      <c r="J35" s="1375"/>
      <c r="K35" s="1375"/>
      <c r="L35" s="1376"/>
      <c r="M35" s="1375"/>
      <c r="N35" s="1375"/>
      <c r="O35" s="1375"/>
      <c r="S35" s="2257" t="s">
        <v>587</v>
      </c>
      <c r="T35" s="2257"/>
      <c r="U35" s="1379"/>
      <c r="V35" s="2258" t="str">
        <f>IF(TITLE_NUMBER_PR_CHANGE="",IF(TITLE_NUMBER_PR="","",TITLE_NUMBER_PR),TITLE_NUMBER_PR_CHANGE)</f>
        <v>29-12/1427</v>
      </c>
      <c r="W35" s="2258"/>
      <c r="X35" s="2258"/>
      <c r="Y35" s="2258"/>
      <c r="Z35" s="2258"/>
      <c r="AA35" s="2258"/>
      <c r="AB35" s="2258"/>
      <c r="AC35" s="333"/>
      <c r="AD35" s="2258" t="str">
        <f>IF(TITLE_NUMBER_PR_CHANGE="",IF(TITLE_NUMBER_PR="","",TITLE_NUMBER_PR),TITLE_NUMBER_PR_CHANGE)</f>
        <v>29-12/1427</v>
      </c>
      <c r="AE35" s="2258"/>
      <c r="AF35" s="2258"/>
      <c r="AG35" s="2258"/>
      <c r="AH35" s="2258"/>
      <c r="AI35" s="2258"/>
      <c r="AJ35" s="2258"/>
      <c r="AK35" s="333"/>
      <c r="AL35" s="333"/>
      <c r="AM35" s="287"/>
      <c r="AN35" s="375"/>
      <c r="AO35" s="375"/>
      <c r="AP35" s="375"/>
      <c r="AQ35" s="375"/>
      <c r="AR35" s="375"/>
      <c r="AS35" s="425">
        <v>0</v>
      </c>
    </row>
    <row s="1860" customFormat="1" customHeight="1" ht="0">
      <c r="A36" s="1375"/>
      <c r="B36" s="1375"/>
      <c r="C36" s="1375"/>
      <c r="D36" s="1375"/>
      <c r="E36" s="1375"/>
      <c r="F36" s="1375"/>
      <c r="G36" s="1375"/>
      <c r="H36" s="1375"/>
      <c r="I36" s="1375"/>
      <c r="J36" s="1375"/>
      <c r="K36" s="1375"/>
      <c r="L36" s="1376"/>
      <c r="M36" s="1375"/>
      <c r="N36" s="1375"/>
      <c r="O36" s="1375"/>
      <c r="S36" s="330"/>
      <c r="T36" s="330"/>
      <c r="U36" s="1347"/>
      <c r="V36" s="333"/>
      <c r="W36" s="333"/>
      <c r="X36" s="333"/>
      <c r="Y36" s="333"/>
      <c r="Z36" s="333"/>
      <c r="AA36" s="333"/>
      <c r="AB36" s="333"/>
      <c r="AC36" s="285" t="s">
        <v>588</v>
      </c>
      <c r="AD36" s="333"/>
      <c r="AE36" s="333"/>
      <c r="AF36" s="333"/>
      <c r="AG36" s="333"/>
      <c r="AH36" s="333"/>
      <c r="AI36" s="333"/>
      <c r="AJ36" s="333"/>
      <c r="AK36" s="285" t="s">
        <v>588</v>
      </c>
      <c r="AN36" s="375"/>
      <c r="AO36" s="375"/>
      <c r="AP36" s="375"/>
      <c r="AQ36" s="375"/>
      <c r="AR36" s="375"/>
      <c r="AS36" s="425">
        <v>0</v>
      </c>
    </row>
    <row customHeight="1" ht="14.699999999999998">
      <c r="Q37" s="383"/>
      <c r="R37" s="383"/>
      <c r="S37" s="1282"/>
      <c r="T37" s="370"/>
      <c r="U37" s="1251"/>
      <c r="V37" s="2259"/>
      <c r="W37" s="2259"/>
      <c r="X37" s="2259"/>
      <c r="Y37" s="2259"/>
      <c r="Z37" s="2259"/>
      <c r="AA37" s="2259"/>
      <c r="AB37" s="2259"/>
      <c r="AC37" s="2259"/>
      <c r="AD37" s="2259"/>
      <c r="AE37" s="2259"/>
      <c r="AF37" s="2259"/>
      <c r="AG37" s="2259"/>
      <c r="AH37" s="2259"/>
      <c r="AI37" s="2259"/>
      <c r="AJ37" s="2259"/>
      <c r="AK37" s="2259"/>
      <c r="AS37" s="1162">
        <v>14</v>
      </c>
    </row>
    <row customHeight="1" ht="14.699999999999998">
      <c r="Q38" s="383"/>
      <c r="R38" s="383"/>
      <c r="S38" s="2134" t="s">
        <v>463</v>
      </c>
      <c r="T38" s="2134"/>
      <c r="U38" s="2134"/>
      <c r="V38" s="2134"/>
      <c r="W38" s="2134"/>
      <c r="X38" s="2134"/>
      <c r="Y38" s="2134"/>
      <c r="Z38" s="2134"/>
      <c r="AA38" s="2134"/>
      <c r="AB38" s="2134"/>
      <c r="AC38" s="2134"/>
      <c r="AD38" s="2134"/>
      <c r="AE38" s="2134"/>
      <c r="AF38" s="2134"/>
      <c r="AG38" s="2134"/>
      <c r="AH38" s="2134"/>
      <c r="AI38" s="2134"/>
      <c r="AJ38" s="2134"/>
      <c r="AK38" s="2134"/>
      <c r="AL38" s="2134"/>
      <c r="AM38" s="2134" t="s">
        <v>464</v>
      </c>
      <c r="AS38" s="1162">
        <v>14</v>
      </c>
    </row>
    <row customHeight="1" ht="14.699999999999998">
      <c r="Q39" s="383"/>
      <c r="R39" s="383"/>
      <c r="S39" s="2280" t="s">
        <v>88</v>
      </c>
      <c r="T39" s="2216" t="s">
        <v>589</v>
      </c>
      <c r="U39" s="308"/>
      <c r="V39" s="2281" t="s">
        <v>590</v>
      </c>
      <c r="W39" s="2282"/>
      <c r="X39" s="2282"/>
      <c r="Y39" s="2282"/>
      <c r="Z39" s="2282"/>
      <c r="AA39" s="2282"/>
      <c r="AB39" s="2283"/>
      <c r="AC39" s="2284" t="s">
        <v>591</v>
      </c>
      <c r="AD39" s="2281" t="s">
        <v>590</v>
      </c>
      <c r="AE39" s="2282"/>
      <c r="AF39" s="2282"/>
      <c r="AG39" s="2282"/>
      <c r="AH39" s="2282"/>
      <c r="AI39" s="2282"/>
      <c r="AJ39" s="2283"/>
      <c r="AK39" s="2284" t="s">
        <v>592</v>
      </c>
      <c r="AL39" s="2287" t="s">
        <v>593</v>
      </c>
      <c r="AM39" s="2134"/>
      <c r="AS39" s="1162">
        <v>14</v>
      </c>
    </row>
    <row customHeight="1" ht="35.699999999999996">
      <c r="Q40" s="383"/>
      <c r="R40" s="383"/>
      <c r="S40" s="2280"/>
      <c r="T40" s="2216"/>
      <c r="U40" s="1038"/>
      <c r="V40" s="2267" t="s">
        <v>594</v>
      </c>
      <c r="W40" s="2290"/>
      <c r="X40" s="2269" t="s">
        <v>596</v>
      </c>
      <c r="Y40" s="2270"/>
      <c r="Z40" s="2269" t="s">
        <v>597</v>
      </c>
      <c r="AA40" s="2276"/>
      <c r="AB40" s="2270"/>
      <c r="AC40" s="2285"/>
      <c r="AD40" s="2267" t="s">
        <v>610</v>
      </c>
      <c r="AE40" s="2290"/>
      <c r="AF40" s="2269" t="s">
        <v>596</v>
      </c>
      <c r="AG40" s="2270"/>
      <c r="AH40" s="2269" t="s">
        <v>597</v>
      </c>
      <c r="AI40" s="2276"/>
      <c r="AJ40" s="2270"/>
      <c r="AK40" s="2285"/>
      <c r="AL40" s="2288"/>
      <c r="AM40" s="2134"/>
      <c r="AS40" s="1162">
        <v>34</v>
      </c>
    </row>
    <row customHeight="1" ht="35.699999999999996">
      <c r="A41" s="1377"/>
      <c r="B41" s="1377" t="s">
        <v>227</v>
      </c>
      <c r="C41" s="1377" t="s">
        <v>228</v>
      </c>
      <c r="D41" s="1377" t="s">
        <v>229</v>
      </c>
      <c r="E41" s="1371" t="s">
        <v>598</v>
      </c>
      <c r="F41" s="1371" t="s">
        <v>599</v>
      </c>
      <c r="G41" s="1371" t="s">
        <v>600</v>
      </c>
      <c r="H41" s="1371" t="s">
        <v>601</v>
      </c>
      <c r="I41" s="1371" t="s">
        <v>602</v>
      </c>
      <c r="J41" s="1371" t="s">
        <v>603</v>
      </c>
      <c r="K41" s="1371" t="s">
        <v>604</v>
      </c>
      <c r="L41" s="1371" t="s">
        <v>579</v>
      </c>
      <c r="Q41" s="383"/>
      <c r="R41" s="383"/>
      <c r="S41" s="2280"/>
      <c r="T41" s="2216"/>
      <c r="U41" s="309"/>
      <c r="V41" s="2268"/>
      <c r="W41" s="2291"/>
      <c r="X41" s="1229" t="s">
        <v>605</v>
      </c>
      <c r="Y41" s="1229" t="s">
        <v>606</v>
      </c>
      <c r="Z41" s="1345" t="s">
        <v>607</v>
      </c>
      <c r="AA41" s="2277" t="s">
        <v>608</v>
      </c>
      <c r="AB41" s="2278"/>
      <c r="AC41" s="2286"/>
      <c r="AD41" s="2268"/>
      <c r="AE41" s="2291"/>
      <c r="AF41" s="1229" t="s">
        <v>605</v>
      </c>
      <c r="AG41" s="1229" t="s">
        <v>606</v>
      </c>
      <c r="AH41" s="1345" t="s">
        <v>607</v>
      </c>
      <c r="AI41" s="2277" t="s">
        <v>608</v>
      </c>
      <c r="AJ41" s="2278"/>
      <c r="AK41" s="2286"/>
      <c r="AL41" s="2289"/>
      <c r="AM41" s="2134"/>
      <c r="AS41" s="1162">
        <v>34</v>
      </c>
    </row>
    <row s="1648" customFormat="1" customHeight="1" ht="11.25" hidden="1">
      <c r="A42" s="1377"/>
      <c r="B42" s="1377"/>
      <c r="C42" s="1377"/>
      <c r="D42" s="1377"/>
      <c r="E42" s="1377"/>
      <c r="F42" s="1377"/>
      <c r="G42" s="1377"/>
      <c r="H42" s="1377"/>
      <c r="I42" s="1377"/>
      <c r="J42" s="1377"/>
      <c r="K42" s="1377"/>
      <c r="L42" s="1371"/>
      <c r="M42" s="1369"/>
      <c r="N42" s="1369"/>
      <c r="O42" s="1369"/>
      <c r="P42" s="1253"/>
      <c r="Q42" s="1254"/>
      <c r="R42" s="1261">
        <v>1</v>
      </c>
      <c r="S42" s="1284" t="s">
        <v>108</v>
      </c>
      <c r="T42" s="1262" t="s">
        <v>99</v>
      </c>
      <c r="U42" s="1252" t="str">
        <f>OFFSET(U42,0,-1)</f>
        <v>2</v>
      </c>
      <c r="V42" s="1342">
        <f>OFFSET(V42,0,-1)+1</f>
        <v>3</v>
      </c>
      <c r="W42" s="1342"/>
      <c r="X42" s="1342">
        <f>OFFSET(X42,0,-1)+1</f>
        <v>1</v>
      </c>
      <c r="Y42" s="1342">
        <f>OFFSET(Y42,0,-1)+1</f>
        <v>2</v>
      </c>
      <c r="Z42" s="1342">
        <f>OFFSET(Z42,0,-1)+1</f>
        <v>3</v>
      </c>
      <c r="AA42" s="2279">
        <f>OFFSET(AA42,0,-1)+1</f>
        <v>4</v>
      </c>
      <c r="AB42" s="2279"/>
      <c r="AC42" s="1342">
        <f>OFFSET(AC42,0,-2)+1</f>
        <v>5</v>
      </c>
      <c r="AD42" s="1342">
        <f>OFFSET(AD42,0,-1)+1</f>
        <v>6</v>
      </c>
      <c r="AE42" s="1342"/>
      <c r="AF42" s="1342">
        <f>OFFSET(AF42,0,-1)+1</f>
        <v>1</v>
      </c>
      <c r="AG42" s="1342">
        <f>OFFSET(AG42,0,-1)+1</f>
        <v>2</v>
      </c>
      <c r="AH42" s="1342">
        <f>OFFSET(AH42,0,-1)+1</f>
        <v>3</v>
      </c>
      <c r="AI42" s="2279">
        <f>OFFSET(AI42,0,-1)+1</f>
        <v>4</v>
      </c>
      <c r="AJ42" s="2279"/>
      <c r="AK42" s="1342">
        <f>OFFSET(AK42,0,-2)+1</f>
        <v>5</v>
      </c>
      <c r="AL42" s="1252">
        <f>OFFSET(AL42,0,-1)</f>
        <v>5</v>
      </c>
      <c r="AM42" s="1342">
        <f>OFFSET(AM42,0,-1)+1</f>
        <v>6</v>
      </c>
      <c r="AN42" s="518"/>
      <c r="AO42" s="518"/>
      <c r="AP42" s="518"/>
      <c r="AQ42" s="518"/>
      <c r="AR42" s="518"/>
      <c r="AS42" s="503">
        <v>0</v>
      </c>
    </row>
    <row customHeight="1" ht="22.049999999999997">
      <c r="A43" s="1370" t="s">
        <v>272</v>
      </c>
      <c r="B43" s="1370"/>
      <c r="C43" s="1370"/>
      <c r="D43" s="1370"/>
      <c r="E43" s="2265">
        <v>1</v>
      </c>
      <c r="F43" s="1370"/>
      <c r="G43" s="1370"/>
      <c r="H43" s="1370"/>
      <c r="I43" s="1370"/>
      <c r="J43" s="1370"/>
      <c r="K43" s="1370"/>
      <c r="L43" s="1371"/>
      <c r="M43" s="1372"/>
      <c r="N43" s="1372"/>
      <c r="O43" s="1372"/>
      <c r="P43" s="368"/>
      <c r="Q43" s="367"/>
      <c r="R43" s="362"/>
      <c r="S43" s="1343">
        <f>INDEX(PT_DIFFERENTIATION_NUM_NTAR,MATCH(A43,PT_DIFFERENTIATION_NTAR_ID,0))</f>
        <v>0</v>
      </c>
      <c r="T43" s="305" t="s">
        <v>215</v>
      </c>
      <c r="U43" s="307"/>
      <c r="V43" s="2249"/>
      <c r="W43" s="2250"/>
      <c r="X43" s="2250"/>
      <c r="Y43" s="2250"/>
      <c r="Z43" s="2250"/>
      <c r="AA43" s="2250"/>
      <c r="AB43" s="2250"/>
      <c r="AC43" s="2251"/>
      <c r="AD43" s="2249" t="str">
        <f>INDEX(PT_DIFFERENTIATION_NTAR,MATCH(A43,PT_DIFFERENTIATION_NTAR_ID,0))</f>
        <v/>
      </c>
      <c r="AE43" s="2250"/>
      <c r="AF43" s="2250"/>
      <c r="AG43" s="2250"/>
      <c r="AH43" s="2250"/>
      <c r="AI43" s="2250"/>
      <c r="AJ43" s="2250"/>
      <c r="AK43" s="2250"/>
      <c r="AL43" s="2251"/>
      <c r="AM43" s="126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7"/>
      <c r="AP43" s="507" t="str">
        <f>IF(T43="","",T43)</f>
        <v>Наименование тарифа</v>
      </c>
      <c r="AQ43" s="507"/>
      <c r="AR43" s="507"/>
      <c r="AS43" s="1162">
        <v>21</v>
      </c>
    </row>
    <row customHeight="1" ht="22.049999999999997">
      <c r="A44" s="1370" t="s">
        <v>272</v>
      </c>
      <c r="B44" s="1370" t="s">
        <v>273</v>
      </c>
      <c r="C44" s="1370"/>
      <c r="D44" s="1370"/>
      <c r="E44" s="2266"/>
      <c r="F44" s="2265">
        <v>1</v>
      </c>
      <c r="G44" s="1370"/>
      <c r="H44" s="1370"/>
      <c r="I44" s="1370"/>
      <c r="J44" s="1370"/>
      <c r="K44" s="1370"/>
      <c r="L44" s="1371"/>
      <c r="M44" s="1372"/>
      <c r="N44" s="1372"/>
      <c r="O44" s="1372"/>
      <c r="P44" s="1339"/>
      <c r="Q44" s="359"/>
      <c r="R44" s="360"/>
      <c r="S44" s="1343" t="str">
        <f>INDEX(PT_DIFFERENTIATION_NUM_TER,MATCH(B44,PT_DIFFERENTIATION_TER_ID,0))</f>
        <v>.</v>
      </c>
      <c r="T44" s="315" t="s">
        <v>560</v>
      </c>
      <c r="U44" s="307"/>
      <c r="V44" s="2249"/>
      <c r="W44" s="2250"/>
      <c r="X44" s="2250"/>
      <c r="Y44" s="2250"/>
      <c r="Z44" s="2250"/>
      <c r="AA44" s="2250"/>
      <c r="AB44" s="2250"/>
      <c r="AC44" s="2251"/>
      <c r="AD44" s="2249" t="str">
        <f>INDEX(PT_DIFFERENTIATION_TER,MATCH(B44,PT_DIFFERENTIATION_TER_ID,0))</f>
        <v/>
      </c>
      <c r="AE44" s="2250"/>
      <c r="AF44" s="2250"/>
      <c r="AG44" s="2250"/>
      <c r="AH44" s="2250"/>
      <c r="AI44" s="2250"/>
      <c r="AJ44" s="2250"/>
      <c r="AK44" s="2250"/>
      <c r="AL44" s="2251"/>
      <c r="AM44" s="1265" t="s">
        <v>561</v>
      </c>
      <c r="AO44" s="507"/>
      <c r="AP44" s="507" t="str">
        <f>IF(T44="","",T44)</f>
        <v>Территория действия тарифа</v>
      </c>
      <c r="AQ44" s="507"/>
      <c r="AR44" s="507"/>
      <c r="AS44" s="1162">
        <v>21</v>
      </c>
    </row>
    <row customHeight="1" ht="24">
      <c r="A45" s="1370" t="s">
        <v>272</v>
      </c>
      <c r="B45" s="1370" t="s">
        <v>273</v>
      </c>
      <c r="C45" s="1370" t="s">
        <v>274</v>
      </c>
      <c r="D45" s="1370"/>
      <c r="E45" s="2266"/>
      <c r="F45" s="2266"/>
      <c r="G45" s="2265">
        <v>1</v>
      </c>
      <c r="H45" s="1370"/>
      <c r="I45" s="1370"/>
      <c r="J45" s="1370"/>
      <c r="K45" s="1370"/>
      <c r="L45" s="1371"/>
      <c r="M45" s="1372"/>
      <c r="N45" s="1372"/>
      <c r="O45" s="1372"/>
      <c r="P45" s="361"/>
      <c r="Q45" s="359"/>
      <c r="R45" s="360"/>
      <c r="S45" s="1343" t="str">
        <f>INDEX(PT_DIFFERENTIATION_NUM_CS,MATCH(C45,PT_DIFFERENTIATION_CS_ID,0))</f>
        <v>..</v>
      </c>
      <c r="T45" s="316" t="s">
        <v>562</v>
      </c>
      <c r="U45" s="307"/>
      <c r="V45" s="2249"/>
      <c r="W45" s="2250"/>
      <c r="X45" s="2250"/>
      <c r="Y45" s="2250"/>
      <c r="Z45" s="2250"/>
      <c r="AA45" s="2250"/>
      <c r="AB45" s="2250"/>
      <c r="AC45" s="2251"/>
      <c r="AD45" s="2249" t="str">
        <f>INDEX(PT_DIFFERENTIATION_CS,MATCH(C45,PT_DIFFERENTIATION_CS_ID,0))</f>
        <v/>
      </c>
      <c r="AE45" s="2250"/>
      <c r="AF45" s="2250"/>
      <c r="AG45" s="2250"/>
      <c r="AH45" s="2250"/>
      <c r="AI45" s="2250"/>
      <c r="AJ45" s="2250"/>
      <c r="AK45" s="2250"/>
      <c r="AL45" s="2251"/>
      <c r="AM45" s="1265" t="s">
        <v>563</v>
      </c>
      <c r="AO45" s="507"/>
      <c r="AP45" s="507" t="str">
        <f>IF(T45="","",T45)</f>
        <v>Наименование системы теплоснабжения </v>
      </c>
      <c r="AQ45" s="507"/>
      <c r="AR45" s="507"/>
      <c r="AS45" s="1162">
        <v>23</v>
      </c>
    </row>
    <row customHeight="1" ht="22.049999999999997">
      <c r="A46" s="1370" t="s">
        <v>272</v>
      </c>
      <c r="B46" s="1370" t="s">
        <v>273</v>
      </c>
      <c r="C46" s="1370" t="s">
        <v>274</v>
      </c>
      <c r="D46" s="1370" t="s">
        <v>275</v>
      </c>
      <c r="E46" s="2266"/>
      <c r="F46" s="2266"/>
      <c r="G46" s="2266"/>
      <c r="H46" s="2265">
        <v>1</v>
      </c>
      <c r="I46" s="1370"/>
      <c r="J46" s="1370"/>
      <c r="K46" s="1370"/>
      <c r="L46" s="1371"/>
      <c r="M46" s="1372"/>
      <c r="N46" s="1372"/>
      <c r="O46" s="1372"/>
      <c r="P46" s="361"/>
      <c r="Q46" s="359"/>
      <c r="R46" s="360"/>
      <c r="S46" s="1343" t="str">
        <f>INDEX(PT_DIFFERENTIATION_NUM_IST_TE,MATCH(D46,PT_DIFFERENTIATION_IST_TE_ID,0))</f>
        <v>...</v>
      </c>
      <c r="T46" s="317" t="s">
        <v>564</v>
      </c>
      <c r="U46" s="307"/>
      <c r="V46" s="2249"/>
      <c r="W46" s="2250"/>
      <c r="X46" s="2250"/>
      <c r="Y46" s="2250"/>
      <c r="Z46" s="2250"/>
      <c r="AA46" s="2250"/>
      <c r="AB46" s="2250"/>
      <c r="AC46" s="2251"/>
      <c r="AD46" s="2249" t="str">
        <f>INDEX(PT_DIFFERENTIATION_IST_TE,MATCH(D46,PT_DIFFERENTIATION_IST_TE_ID,0))</f>
        <v/>
      </c>
      <c r="AE46" s="2250"/>
      <c r="AF46" s="2250"/>
      <c r="AG46" s="2250"/>
      <c r="AH46" s="2250"/>
      <c r="AI46" s="2250"/>
      <c r="AJ46" s="2250"/>
      <c r="AK46" s="2250"/>
      <c r="AL46" s="2251"/>
      <c r="AM46" s="1265" t="s">
        <v>565</v>
      </c>
      <c r="AO46" s="507"/>
      <c r="AP46" s="507" t="str">
        <f>IF(T46="","",T46)</f>
        <v>Источник тепловой энергии  </v>
      </c>
      <c r="AQ46" s="507"/>
      <c r="AR46" s="507"/>
      <c r="AS46" s="1162">
        <v>21</v>
      </c>
    </row>
    <row s="1649" customFormat="1" customHeight="1" ht="0">
      <c r="A47" s="1350" t="s">
        <v>272</v>
      </c>
      <c r="B47" s="1350" t="s">
        <v>273</v>
      </c>
      <c r="C47" s="1350" t="s">
        <v>274</v>
      </c>
      <c r="D47" s="1350" t="s">
        <v>275</v>
      </c>
      <c r="E47" s="2266"/>
      <c r="F47" s="2266"/>
      <c r="G47" s="2266"/>
      <c r="H47" s="2266"/>
      <c r="I47" s="2263" t="str">
        <f>S46&amp;".1"</f>
        <v>....1</v>
      </c>
      <c r="J47" s="1350"/>
      <c r="K47" s="1350"/>
      <c r="L47" s="1353" t="s">
        <v>566</v>
      </c>
      <c r="M47" s="517"/>
      <c r="N47" s="517"/>
      <c r="O47" s="517"/>
      <c r="P47" s="2264">
        <v>1</v>
      </c>
      <c r="Q47" s="1338"/>
      <c r="R47" s="363"/>
      <c r="S47" s="1049"/>
      <c r="T47" s="1390"/>
      <c r="U47" s="1391"/>
      <c r="V47" s="2303"/>
      <c r="W47" s="2304"/>
      <c r="X47" s="2304"/>
      <c r="Y47" s="2304"/>
      <c r="Z47" s="2304"/>
      <c r="AA47" s="2304"/>
      <c r="AB47" s="2304"/>
      <c r="AC47" s="2305"/>
      <c r="AD47" s="2303"/>
      <c r="AE47" s="2304"/>
      <c r="AF47" s="2304"/>
      <c r="AG47" s="2304"/>
      <c r="AH47" s="2304"/>
      <c r="AI47" s="2304"/>
      <c r="AJ47" s="2304"/>
      <c r="AK47" s="2304"/>
      <c r="AL47" s="2305"/>
      <c r="AM47" s="1392"/>
      <c r="AO47" s="507"/>
      <c r="AP47" s="507" t="str">
        <f>IF(T47="","",T47)</f>
        <v/>
      </c>
      <c r="AQ47" s="507"/>
      <c r="AR47" s="507"/>
      <c r="AS47" s="518">
        <v>0</v>
      </c>
    </row>
    <row customHeight="1" ht="22.049999999999997">
      <c r="A48" s="1370" t="s">
        <v>272</v>
      </c>
      <c r="B48" s="1370" t="s">
        <v>273</v>
      </c>
      <c r="C48" s="1370" t="s">
        <v>274</v>
      </c>
      <c r="D48" s="1370" t="s">
        <v>275</v>
      </c>
      <c r="E48" s="2266"/>
      <c r="F48" s="2266"/>
      <c r="G48" s="2266"/>
      <c r="H48" s="2266"/>
      <c r="I48" s="2293"/>
      <c r="J48" s="2263" t="str">
        <f>S46&amp;".1"</f>
        <v>....1</v>
      </c>
      <c r="K48" s="1370"/>
      <c r="L48" s="1371" t="s">
        <v>569</v>
      </c>
      <c r="P48" s="2264"/>
      <c r="Q48" s="2264">
        <v>1</v>
      </c>
      <c r="R48" s="364"/>
      <c r="S48" s="1343" t="str">
        <f>$J48</f>
        <v>....1</v>
      </c>
      <c r="T48" s="293" t="s">
        <v>570</v>
      </c>
      <c r="U48" s="307"/>
      <c r="V48" s="2252"/>
      <c r="W48" s="2253"/>
      <c r="X48" s="2253"/>
      <c r="Y48" s="2253"/>
      <c r="Z48" s="2253"/>
      <c r="AA48" s="2253"/>
      <c r="AB48" s="2253"/>
      <c r="AC48" s="2254"/>
      <c r="AD48" s="2252"/>
      <c r="AE48" s="2253"/>
      <c r="AF48" s="2253"/>
      <c r="AG48" s="2253"/>
      <c r="AH48" s="2253"/>
      <c r="AI48" s="2253"/>
      <c r="AJ48" s="2253"/>
      <c r="AK48" s="2253"/>
      <c r="AL48" s="2254"/>
      <c r="AM48" s="1265" t="s">
        <v>571</v>
      </c>
      <c r="AO48" s="507"/>
      <c r="AP48" s="507" t="str">
        <f>IF(T48="","",T48)</f>
        <v>Группа потребителей</v>
      </c>
      <c r="AQ48" s="507"/>
      <c r="AR48" s="507"/>
      <c r="AS48" s="1162">
        <v>21</v>
      </c>
    </row>
    <row customHeight="1" ht="22.049999999999997">
      <c r="A49" s="1370" t="s">
        <v>272</v>
      </c>
      <c r="B49" s="1370" t="s">
        <v>273</v>
      </c>
      <c r="C49" s="1370" t="s">
        <v>274</v>
      </c>
      <c r="D49" s="1370" t="s">
        <v>275</v>
      </c>
      <c r="E49" s="2266"/>
      <c r="F49" s="2266"/>
      <c r="G49" s="2266"/>
      <c r="H49" s="2266"/>
      <c r="I49" s="2293"/>
      <c r="J49" s="2293"/>
      <c r="K49" s="2263" t="str">
        <f>J48&amp;".1"</f>
        <v>....1.1</v>
      </c>
      <c r="L49" s="1371" t="s">
        <v>572</v>
      </c>
      <c r="P49" s="2264"/>
      <c r="Q49" s="2264"/>
      <c r="R49" s="364">
        <v>1</v>
      </c>
      <c r="S49" s="1343" t="str">
        <f>$K49</f>
        <v>....1.1</v>
      </c>
      <c r="T49" s="1354"/>
      <c r="U49" s="307"/>
      <c r="V49" s="758"/>
      <c r="W49" s="332"/>
      <c r="X49" s="758"/>
      <c r="Y49" s="1264"/>
      <c r="Z49" s="2272"/>
      <c r="AA49" s="2114" t="s">
        <v>66</v>
      </c>
      <c r="AB49" s="2272"/>
      <c r="AC49" s="2114" t="s">
        <v>66</v>
      </c>
      <c r="AD49" s="758"/>
      <c r="AE49" s="332"/>
      <c r="AF49" s="758"/>
      <c r="AG49" s="1264"/>
      <c r="AH49" s="2272"/>
      <c r="AI49" s="2114" t="s">
        <v>66</v>
      </c>
      <c r="AJ49" s="2294"/>
      <c r="AK49" s="2114" t="s">
        <v>66</v>
      </c>
      <c r="AL49" s="1355"/>
      <c r="AM49" s="2260" t="s">
        <v>611</v>
      </c>
      <c r="AN49" s="518">
        <f>STRCHECKDATE(V50:AL50)</f>
      </c>
      <c r="AO49" s="507"/>
      <c r="AP49" s="507" t="str">
        <f>IF(T49="","",T49)</f>
        <v/>
      </c>
      <c r="AQ49" s="507"/>
      <c r="AR49" s="507"/>
      <c r="AS49" s="1162">
        <v>21</v>
      </c>
    </row>
    <row customHeight="1" ht="0">
      <c r="A50" s="1370" t="s">
        <v>272</v>
      </c>
      <c r="B50" s="1370" t="s">
        <v>273</v>
      </c>
      <c r="C50" s="1370" t="s">
        <v>274</v>
      </c>
      <c r="D50" s="1370" t="s">
        <v>275</v>
      </c>
      <c r="E50" s="2266"/>
      <c r="F50" s="2266"/>
      <c r="G50" s="2266"/>
      <c r="H50" s="2266"/>
      <c r="I50" s="2293"/>
      <c r="J50" s="2293"/>
      <c r="K50" s="2263"/>
      <c r="L50" s="1371"/>
      <c r="P50" s="2264"/>
      <c r="Q50" s="2264"/>
      <c r="R50" s="364"/>
      <c r="S50" s="1349"/>
      <c r="T50" s="307"/>
      <c r="U50" s="307"/>
      <c r="V50" s="332"/>
      <c r="W50" s="332"/>
      <c r="X50" s="332"/>
      <c r="Y50" s="335" t="str">
        <f>Z49&amp;"-"&amp;AB49</f>
        <v>-</v>
      </c>
      <c r="Z50" s="2273"/>
      <c r="AA50" s="2114"/>
      <c r="AB50" s="2273"/>
      <c r="AC50" s="2114"/>
      <c r="AD50" s="332"/>
      <c r="AE50" s="332"/>
      <c r="AF50" s="332"/>
      <c r="AG50" s="335" t="str">
        <f>AH49&amp;"-"&amp;AJ49</f>
        <v>-</v>
      </c>
      <c r="AH50" s="2273"/>
      <c r="AI50" s="2114"/>
      <c r="AJ50" s="2295"/>
      <c r="AK50" s="2114"/>
      <c r="AL50" s="1356"/>
      <c r="AM50" s="2261"/>
      <c r="AO50" s="507"/>
      <c r="AP50" s="507" t="str">
        <f>IF(T50="","",T50)</f>
        <v/>
      </c>
      <c r="AQ50" s="507"/>
      <c r="AR50" s="507"/>
      <c r="AS50" s="1162">
        <v>0</v>
      </c>
    </row>
    <row customHeight="1" ht="11.549999999999999">
      <c r="A51" s="1370" t="s">
        <v>272</v>
      </c>
      <c r="B51" s="1370" t="s">
        <v>273</v>
      </c>
      <c r="C51" s="1370" t="s">
        <v>274</v>
      </c>
      <c r="D51" s="1370" t="s">
        <v>275</v>
      </c>
      <c r="E51" s="2266"/>
      <c r="F51" s="2266"/>
      <c r="G51" s="2266"/>
      <c r="H51" s="2266"/>
      <c r="I51" s="2293"/>
      <c r="J51" s="2263"/>
      <c r="K51" s="1370"/>
      <c r="L51" s="1371"/>
      <c r="P51" s="2264"/>
      <c r="Q51" s="2264"/>
      <c r="R51" s="363"/>
      <c r="S51" s="1285"/>
      <c r="T51" s="294" t="s">
        <v>574</v>
      </c>
      <c r="U51" s="374"/>
      <c r="V51" s="374"/>
      <c r="W51" s="374"/>
      <c r="X51" s="374"/>
      <c r="Y51" s="374"/>
      <c r="Z51" s="374"/>
      <c r="AA51" s="374"/>
      <c r="AB51" s="374"/>
      <c r="AC51" s="374"/>
      <c r="AD51" s="374"/>
      <c r="AE51" s="374"/>
      <c r="AF51" s="374"/>
      <c r="AG51" s="374"/>
      <c r="AH51" s="374"/>
      <c r="AI51" s="374"/>
      <c r="AJ51" s="374"/>
      <c r="AK51" s="374"/>
      <c r="AL51" s="331"/>
      <c r="AM51" s="2262"/>
      <c r="AO51" s="507"/>
      <c r="AP51" s="507" t="str">
        <f>IF(T51="","",T51)</f>
        <v>Добавить вид теплоносителя (параметры теплоносителя)</v>
      </c>
      <c r="AQ51" s="507"/>
      <c r="AR51" s="507"/>
      <c r="AS51" s="1162">
        <v>11</v>
      </c>
    </row>
    <row customHeight="1" ht="11.549999999999999">
      <c r="A52" s="1370" t="s">
        <v>272</v>
      </c>
      <c r="B52" s="1370" t="s">
        <v>273</v>
      </c>
      <c r="C52" s="1370" t="s">
        <v>274</v>
      </c>
      <c r="D52" s="1370" t="s">
        <v>275</v>
      </c>
      <c r="E52" s="2266"/>
      <c r="F52" s="2266"/>
      <c r="G52" s="2266"/>
      <c r="H52" s="2266"/>
      <c r="I52" s="2263"/>
      <c r="J52" s="1370"/>
      <c r="K52" s="1370"/>
      <c r="L52" s="1371"/>
      <c r="P52" s="2264"/>
      <c r="Q52" s="1338"/>
      <c r="R52" s="363"/>
      <c r="S52" s="1285"/>
      <c r="T52" s="372" t="s">
        <v>575</v>
      </c>
      <c r="U52" s="374"/>
      <c r="V52" s="374"/>
      <c r="W52" s="374"/>
      <c r="X52" s="374"/>
      <c r="Y52" s="374"/>
      <c r="Z52" s="374"/>
      <c r="AA52" s="374"/>
      <c r="AB52" s="374"/>
      <c r="AC52" s="373"/>
      <c r="AD52" s="374"/>
      <c r="AE52" s="374"/>
      <c r="AF52" s="374"/>
      <c r="AG52" s="374"/>
      <c r="AH52" s="374"/>
      <c r="AI52" s="374"/>
      <c r="AJ52" s="374"/>
      <c r="AK52" s="373"/>
      <c r="AL52" s="374"/>
      <c r="AM52" s="310"/>
      <c r="AO52" s="507"/>
      <c r="AP52" s="507" t="str">
        <f>IF(T52="","",T52)</f>
        <v>Добавить группу потребителей</v>
      </c>
      <c r="AQ52" s="507"/>
      <c r="AR52" s="507"/>
      <c r="AS52" s="1162">
        <v>11</v>
      </c>
    </row>
    <row customHeight="1" ht="0">
      <c r="A53" s="1370" t="s">
        <v>272</v>
      </c>
      <c r="B53" s="1370" t="s">
        <v>273</v>
      </c>
      <c r="C53" s="1370" t="s">
        <v>274</v>
      </c>
      <c r="D53" s="1370" t="s">
        <v>275</v>
      </c>
      <c r="E53" s="2266"/>
      <c r="F53" s="2266"/>
      <c r="G53" s="2266"/>
      <c r="H53" s="2265"/>
      <c r="I53" s="1370"/>
      <c r="J53" s="1370"/>
      <c r="K53" s="1370"/>
      <c r="L53" s="1371"/>
      <c r="M53" s="1372"/>
      <c r="N53" s="1372"/>
      <c r="O53" s="544"/>
      <c r="P53" s="367"/>
      <c r="Q53" s="382"/>
      <c r="R53" s="362"/>
      <c r="S53" s="1393"/>
      <c r="T53" s="1394"/>
      <c r="U53" s="1395"/>
      <c r="V53" s="1395"/>
      <c r="W53" s="1395"/>
      <c r="X53" s="1395"/>
      <c r="Y53" s="1395"/>
      <c r="Z53" s="1395"/>
      <c r="AA53" s="1395"/>
      <c r="AB53" s="1395"/>
      <c r="AC53" s="1395"/>
      <c r="AD53" s="1395"/>
      <c r="AE53" s="1395"/>
      <c r="AF53" s="1395"/>
      <c r="AG53" s="1395"/>
      <c r="AH53" s="1395"/>
      <c r="AI53" s="1395"/>
      <c r="AJ53" s="1395"/>
      <c r="AK53" s="1395"/>
      <c r="AL53" s="1395"/>
      <c r="AM53" s="1396"/>
      <c r="AO53" s="507"/>
      <c r="AP53" s="507" t="str">
        <f>IF(T53="","",T53)</f>
        <v/>
      </c>
      <c r="AQ53" s="507"/>
      <c r="AR53" s="507"/>
      <c r="AS53" s="1162">
        <v>0</v>
      </c>
    </row>
    <row s="1649" customFormat="1" customHeight="1" ht="0">
      <c r="A54" s="1350" t="s">
        <v>272</v>
      </c>
      <c r="B54" s="1350" t="s">
        <v>273</v>
      </c>
      <c r="C54" s="1350" t="s">
        <v>274</v>
      </c>
      <c r="D54" s="1321"/>
      <c r="E54" s="2266"/>
      <c r="F54" s="2266"/>
      <c r="G54" s="2265"/>
      <c r="H54" s="1321"/>
      <c r="I54" s="1321"/>
      <c r="J54" s="1321"/>
      <c r="K54" s="1321"/>
      <c r="L54" s="1346"/>
      <c r="M54" s="1322"/>
      <c r="N54" s="1322"/>
      <c r="P54" s="1323"/>
      <c r="Q54" s="1324"/>
      <c r="R54" s="1323"/>
      <c r="S54" s="1329"/>
      <c r="T54" s="1332" t="s">
        <v>577</v>
      </c>
      <c r="U54" s="1331"/>
      <c r="V54" s="1331"/>
      <c r="W54" s="1331"/>
      <c r="X54" s="1331"/>
      <c r="Y54" s="1331"/>
      <c r="Z54" s="1331"/>
      <c r="AA54" s="1331"/>
      <c r="AB54" s="1331"/>
      <c r="AC54" s="1331"/>
      <c r="AD54" s="1331"/>
      <c r="AE54" s="1331"/>
      <c r="AF54" s="1331"/>
      <c r="AG54" s="1331"/>
      <c r="AH54" s="1331"/>
      <c r="AI54" s="1331"/>
      <c r="AJ54" s="1331"/>
      <c r="AK54" s="1331"/>
      <c r="AL54" s="1331"/>
      <c r="AM54" s="1331"/>
      <c r="AO54" s="796"/>
      <c r="AP54" s="796" t="str">
        <f>IF(T54="","",T54)</f>
        <v>Добавить источник для дифференциации</v>
      </c>
      <c r="AQ54" s="796"/>
      <c r="AR54" s="796"/>
      <c r="AS54" s="525">
        <v>0</v>
      </c>
    </row>
    <row s="1649" customFormat="1" customHeight="1" ht="0">
      <c r="A55" s="1350" t="s">
        <v>272</v>
      </c>
      <c r="B55" s="1350" t="s">
        <v>273</v>
      </c>
      <c r="C55" s="1321"/>
      <c r="D55" s="1321"/>
      <c r="E55" s="2266"/>
      <c r="F55" s="2265"/>
      <c r="G55" s="1321"/>
      <c r="H55" s="1321"/>
      <c r="I55" s="1321"/>
      <c r="J55" s="1321"/>
      <c r="K55" s="1321"/>
      <c r="L55" s="1346"/>
      <c r="M55" s="1328"/>
      <c r="N55" s="1328"/>
      <c r="P55" s="1323"/>
      <c r="Q55" s="1324"/>
      <c r="R55" s="1323"/>
      <c r="S55" s="1329"/>
      <c r="T55" s="1332" t="s">
        <v>316</v>
      </c>
      <c r="U55" s="1331"/>
      <c r="V55" s="1331"/>
      <c r="W55" s="1331"/>
      <c r="X55" s="1331"/>
      <c r="Y55" s="1331"/>
      <c r="Z55" s="1331"/>
      <c r="AA55" s="1331"/>
      <c r="AB55" s="1331"/>
      <c r="AC55" s="1331"/>
      <c r="AD55" s="1331"/>
      <c r="AE55" s="1331"/>
      <c r="AF55" s="1331"/>
      <c r="AG55" s="1331"/>
      <c r="AH55" s="1331"/>
      <c r="AI55" s="1331"/>
      <c r="AJ55" s="1331"/>
      <c r="AK55" s="1331"/>
      <c r="AL55" s="1331"/>
      <c r="AM55" s="1331"/>
      <c r="AO55" s="796"/>
      <c r="AP55" s="796" t="str">
        <f>IF(T55="","",T55)</f>
        <v>Добавить централизованную систему для дифференциации</v>
      </c>
      <c r="AQ55" s="796"/>
      <c r="AR55" s="796"/>
      <c r="AS55" s="525">
        <v>0</v>
      </c>
    </row>
    <row s="1649" customFormat="1" customHeight="1" ht="0">
      <c r="A56" s="1350" t="s">
        <v>272</v>
      </c>
      <c r="B56" s="1350"/>
      <c r="C56" s="1350"/>
      <c r="D56" s="1350"/>
      <c r="E56" s="2265"/>
      <c r="F56" s="1350"/>
      <c r="G56" s="1350"/>
      <c r="H56" s="1350"/>
      <c r="I56" s="1350"/>
      <c r="J56" s="1350"/>
      <c r="K56" s="1350"/>
      <c r="L56" s="1353"/>
      <c r="M56" s="1328"/>
      <c r="N56" s="1328"/>
      <c r="O56" s="525"/>
      <c r="P56" s="387"/>
      <c r="Q56" s="1351"/>
      <c r="R56" s="387"/>
      <c r="S56" s="1329"/>
      <c r="T56" s="1332" t="s">
        <v>390</v>
      </c>
      <c r="U56" s="1331"/>
      <c r="V56" s="1331"/>
      <c r="W56" s="1331"/>
      <c r="X56" s="1331"/>
      <c r="Y56" s="1331"/>
      <c r="Z56" s="1331"/>
      <c r="AA56" s="1331"/>
      <c r="AB56" s="1331"/>
      <c r="AC56" s="1331"/>
      <c r="AD56" s="1331"/>
      <c r="AE56" s="1331"/>
      <c r="AF56" s="1331"/>
      <c r="AG56" s="1331"/>
      <c r="AH56" s="1331"/>
      <c r="AI56" s="1331"/>
      <c r="AJ56" s="1331"/>
      <c r="AK56" s="1331"/>
      <c r="AL56" s="1331"/>
      <c r="AM56" s="1331"/>
      <c r="AO56" s="507"/>
      <c r="AP56" s="507" t="str">
        <f>IF(T56="","",T56)</f>
        <v>Добавить территорию для дифференциации</v>
      </c>
      <c r="AQ56" s="507"/>
      <c r="AR56" s="507"/>
      <c r="AS56" s="518">
        <v>0</v>
      </c>
    </row>
    <row s="1649" customFormat="1" customHeight="1" ht="4.2">
      <c r="A57" s="1321"/>
      <c r="B57" s="1321"/>
      <c r="C57" s="1321"/>
      <c r="D57" s="1321"/>
      <c r="E57" s="1350"/>
      <c r="F57" s="1321"/>
      <c r="G57" s="1321"/>
      <c r="H57" s="1321"/>
      <c r="I57" s="1321"/>
      <c r="J57" s="1321"/>
      <c r="K57" s="1321"/>
      <c r="L57" s="1346"/>
      <c r="M57" s="1328"/>
      <c r="N57" s="1328"/>
      <c r="P57" s="1323"/>
      <c r="Q57" s="1324"/>
      <c r="R57" s="1323"/>
      <c r="S57" s="1329"/>
      <c r="T57" s="1332" t="s">
        <v>391</v>
      </c>
      <c r="U57" s="1331"/>
      <c r="V57" s="1331"/>
      <c r="W57" s="1331"/>
      <c r="X57" s="1331"/>
      <c r="Y57" s="1331"/>
      <c r="Z57" s="1331"/>
      <c r="AA57" s="1331"/>
      <c r="AB57" s="1331"/>
      <c r="AC57" s="1331"/>
      <c r="AD57" s="1331"/>
      <c r="AE57" s="1331"/>
      <c r="AF57" s="1331"/>
      <c r="AG57" s="1331"/>
      <c r="AH57" s="1331"/>
      <c r="AI57" s="1331"/>
      <c r="AJ57" s="1331"/>
      <c r="AK57" s="1331"/>
      <c r="AL57" s="1331"/>
      <c r="AM57" s="1331"/>
      <c r="AO57" s="796"/>
      <c r="AP57" s="796" t="str">
        <f>IF(T57="","",T57)</f>
        <v>Добавить наименование тарифа</v>
      </c>
      <c r="AQ57" s="796"/>
      <c r="AR57" s="796"/>
      <c r="AS57" s="525">
        <v>4</v>
      </c>
    </row>
    <row customHeight="1" ht="11.549999999999999">
      <c r="M58" s="1167"/>
      <c r="N58" s="1167"/>
      <c r="O58" s="544"/>
      <c r="P58" s="1162"/>
      <c r="Q58" s="1162"/>
      <c r="R58" s="1162"/>
      <c r="S58" s="1162"/>
      <c r="AN58" s="1162"/>
      <c r="AO58" s="1162"/>
      <c r="AP58" s="1162"/>
      <c r="AQ58" s="1162"/>
      <c r="AR58" s="1162"/>
      <c r="AS58" s="1162">
        <v>11</v>
      </c>
    </row>
    <row customHeight="1" ht="14.699999999999998">
      <c r="O59" s="544"/>
      <c r="S59" s="1260"/>
      <c r="T59" s="2292"/>
      <c r="U59" s="2292"/>
      <c r="V59" s="2292"/>
      <c r="W59" s="2292"/>
      <c r="X59" s="2292"/>
      <c r="Y59" s="2292"/>
      <c r="Z59" s="2292"/>
      <c r="AA59" s="2292"/>
      <c r="AB59" s="2292"/>
      <c r="AC59" s="2292"/>
      <c r="AD59" s="2292"/>
      <c r="AE59" s="2292"/>
      <c r="AF59" s="2292"/>
      <c r="AG59" s="2292"/>
      <c r="AH59" s="2292"/>
      <c r="AI59" s="2292"/>
      <c r="AJ59" s="2292"/>
      <c r="AK59" s="2292"/>
      <c r="AL59" s="2292"/>
      <c r="AM59" s="2292"/>
      <c r="AS59" s="1162">
        <v>14</v>
      </c>
    </row>
    <row customHeight="1" ht="14.699999999999998">
      <c r="O60" s="544"/>
      <c r="T60" s="2292"/>
      <c r="U60" s="2292"/>
      <c r="V60" s="2292"/>
      <c r="W60" s="2292"/>
      <c r="X60" s="2292"/>
      <c r="Y60" s="2292"/>
      <c r="Z60" s="2292"/>
      <c r="AA60" s="2292"/>
      <c r="AB60" s="2292"/>
      <c r="AC60" s="2292"/>
      <c r="AD60" s="2292"/>
      <c r="AE60" s="2292"/>
      <c r="AF60" s="2292"/>
      <c r="AG60" s="2292"/>
      <c r="AH60" s="2292"/>
      <c r="AI60" s="2292"/>
      <c r="AJ60" s="2292"/>
      <c r="AK60" s="2292"/>
      <c r="AL60" s="2292"/>
      <c r="AM60" s="2292"/>
      <c r="AS60" s="1162">
        <v>14</v>
      </c>
    </row>
    <row customHeight="1" ht="14.699999999999998">
      <c r="O61" s="544"/>
      <c r="T61" s="2292"/>
      <c r="U61" s="2292"/>
      <c r="V61" s="2292"/>
      <c r="W61" s="2292"/>
      <c r="X61" s="2292"/>
      <c r="Y61" s="2292"/>
      <c r="Z61" s="2292"/>
      <c r="AA61" s="2292"/>
      <c r="AB61" s="2292"/>
      <c r="AC61" s="2292"/>
      <c r="AD61" s="2292"/>
      <c r="AE61" s="2292"/>
      <c r="AF61" s="2292"/>
      <c r="AG61" s="2292"/>
      <c r="AH61" s="2292"/>
      <c r="AI61" s="2292"/>
      <c r="AJ61" s="2292"/>
      <c r="AK61" s="2292"/>
      <c r="AL61" s="2292"/>
      <c r="AM61" s="2292"/>
      <c r="AS61" s="1162">
        <v>14</v>
      </c>
    </row>
    <row customHeight="1" ht="14.699999999999998">
      <c r="O62" s="544"/>
      <c r="AS62" s="1162">
        <v>14</v>
      </c>
    </row>
    <row customHeight="1" ht="14.699999999999998">
      <c r="O63" s="544"/>
      <c r="S63" s="1260"/>
      <c r="T63" s="2306"/>
      <c r="U63" s="2292"/>
      <c r="V63" s="2292"/>
      <c r="W63" s="2292"/>
      <c r="X63" s="2292"/>
      <c r="Y63" s="2292"/>
      <c r="Z63" s="2292"/>
      <c r="AA63" s="2292"/>
      <c r="AB63" s="2292"/>
      <c r="AC63" s="2292"/>
      <c r="AD63" s="2292"/>
      <c r="AE63" s="2292"/>
      <c r="AF63" s="2292"/>
      <c r="AG63" s="2292"/>
      <c r="AH63" s="2292"/>
      <c r="AI63" s="2292"/>
      <c r="AJ63" s="2292"/>
      <c r="AK63" s="2292"/>
      <c r="AL63" s="2292"/>
      <c r="AM63" s="2292"/>
      <c r="AS63" s="1162">
        <v>14</v>
      </c>
    </row>
    <row customHeight="1" ht="14.699999999999998">
      <c r="O64" s="544"/>
      <c r="T64" s="2292"/>
      <c r="U64" s="2292"/>
      <c r="V64" s="2292"/>
      <c r="W64" s="2292"/>
      <c r="X64" s="2292"/>
      <c r="Y64" s="2292"/>
      <c r="Z64" s="2292"/>
      <c r="AA64" s="2292"/>
      <c r="AB64" s="2292"/>
      <c r="AC64" s="2292"/>
      <c r="AD64" s="2292"/>
      <c r="AE64" s="2292"/>
      <c r="AF64" s="2292"/>
      <c r="AG64" s="2292"/>
      <c r="AH64" s="2292"/>
      <c r="AI64" s="2292"/>
      <c r="AJ64" s="2292"/>
      <c r="AK64" s="2292"/>
      <c r="AL64" s="2292"/>
      <c r="AM64" s="2292"/>
      <c r="AS64" s="1162">
        <v>14</v>
      </c>
    </row>
    <row customHeight="1" ht="14.699999999999998">
      <c r="T65" s="2292"/>
      <c r="U65" s="2292"/>
      <c r="V65" s="2292"/>
      <c r="W65" s="2292"/>
      <c r="X65" s="2292"/>
      <c r="Y65" s="2292"/>
      <c r="Z65" s="2292"/>
      <c r="AA65" s="2292"/>
      <c r="AB65" s="2292"/>
      <c r="AC65" s="2292"/>
      <c r="AD65" s="2292"/>
      <c r="AE65" s="2292"/>
      <c r="AF65" s="2292"/>
      <c r="AG65" s="2292"/>
      <c r="AH65" s="2292"/>
      <c r="AI65" s="2292"/>
      <c r="AJ65" s="2292"/>
      <c r="AK65" s="2292"/>
      <c r="AL65" s="2292"/>
      <c r="AM65" s="2292"/>
      <c r="AS65" s="1162">
        <v>14</v>
      </c>
    </row>
    <row customHeight="1" ht="22.5" hidden="1">
      <c r="A66" s="1167" t="s">
        <v>82</v>
      </c>
      <c r="B66" s="1167">
        <v>0</v>
      </c>
      <c r="C66" s="1167">
        <v>0</v>
      </c>
      <c r="D66" s="1167">
        <v>0</v>
      </c>
      <c r="E66" s="1167">
        <v>0</v>
      </c>
      <c r="F66" s="1167">
        <v>0</v>
      </c>
      <c r="G66" s="1167">
        <v>0</v>
      </c>
      <c r="H66" s="1167">
        <v>0</v>
      </c>
      <c r="I66" s="1167">
        <v>0</v>
      </c>
      <c r="J66" s="1167">
        <v>0</v>
      </c>
      <c r="K66" s="1167">
        <v>0</v>
      </c>
      <c r="L66" s="1336">
        <v>0</v>
      </c>
      <c r="M66" s="1369">
        <v>0</v>
      </c>
      <c r="N66" s="1369">
        <v>0</v>
      </c>
      <c r="O66" s="1369">
        <v>0</v>
      </c>
      <c r="P66" s="1335">
        <v>0</v>
      </c>
      <c r="Q66" s="351">
        <v>3</v>
      </c>
      <c r="R66" s="351">
        <v>3</v>
      </c>
      <c r="S66" s="588">
        <v>12</v>
      </c>
      <c r="T66" s="1162">
        <v>31</v>
      </c>
      <c r="U66" s="1162">
        <v>0</v>
      </c>
      <c r="V66" s="1162">
        <v>0</v>
      </c>
      <c r="W66" s="1162">
        <v>0</v>
      </c>
      <c r="X66" s="1162">
        <v>0</v>
      </c>
      <c r="Y66" s="1162">
        <v>0</v>
      </c>
      <c r="Z66" s="1162">
        <v>0</v>
      </c>
      <c r="AA66" s="1162">
        <v>0</v>
      </c>
      <c r="AB66" s="1162">
        <v>0</v>
      </c>
      <c r="AC66" s="1162">
        <v>0</v>
      </c>
      <c r="AD66" s="1162">
        <v>24</v>
      </c>
      <c r="AE66" s="1162">
        <v>0</v>
      </c>
      <c r="AF66" s="1162">
        <v>24</v>
      </c>
      <c r="AG66" s="1162">
        <v>24</v>
      </c>
      <c r="AH66" s="1162">
        <v>11</v>
      </c>
      <c r="AI66" s="1162">
        <v>3</v>
      </c>
      <c r="AJ66" s="1162">
        <v>11</v>
      </c>
      <c r="AK66" s="1162">
        <v>0</v>
      </c>
      <c r="AL66" s="1162">
        <v>4</v>
      </c>
      <c r="AM66" s="1162">
        <v>115</v>
      </c>
      <c r="AN66" s="518">
        <v>10</v>
      </c>
      <c r="AO66" s="518">
        <v>10</v>
      </c>
      <c r="AP66" s="518">
        <v>10</v>
      </c>
      <c r="AQ66" s="518">
        <v>10</v>
      </c>
      <c r="AR66" s="518">
        <v>10</v>
      </c>
      <c r="AS66" s="1162">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7F3E89-71AB-CDBF-76F7-3E36620B0993}"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42" width="10.57421875" hidden="1"/>
    <col min="2" max="2" style="1642" width="11.00390625" hidden="1" customWidth="1"/>
    <col min="3" max="3" style="1642" width="10.57421875" hidden="1"/>
    <col min="4" max="4" style="1642" width="11.8515625" hidden="1" customWidth="1"/>
    <col min="5" max="5" style="1642" width="10.00390625" hidden="1" customWidth="1"/>
    <col min="6" max="6" style="1642" width="8.7109375" hidden="1" customWidth="1"/>
    <col min="7" max="7" style="1642" width="7.57421875" hidden="1" customWidth="1"/>
    <col min="8" max="8" style="1642" width="11.421875" hidden="1" customWidth="1"/>
    <col min="9" max="9" style="1642" width="12.00390625" hidden="1" customWidth="1"/>
    <col min="10" max="10" style="1642" width="9.8515625" hidden="1" customWidth="1"/>
    <col min="11" max="12" style="1642" width="11.421875" hidden="1" customWidth="1"/>
    <col min="13" max="13" style="2132" width="19.140625" hidden="1" customWidth="1"/>
    <col min="14" max="15" style="2404" width="12.28125" hidden="1" customWidth="1"/>
    <col min="16" max="16" style="2404" width="23.421875" hidden="1" customWidth="1"/>
    <col min="17" max="17" style="2404" width="3.7109375" hidden="1" customWidth="1"/>
    <col min="18" max="20" style="351" width="3.00390625" customWidth="1"/>
    <col min="21" max="21" style="2414" width="12.00390625" customWidth="1"/>
    <col min="22" max="22" style="1642" width="31.00390625" customWidth="1"/>
    <col min="23" max="23" style="1642" width="0.140625" customWidth="1"/>
    <col min="24" max="28" style="1642" width="21.7109375" hidden="1" customWidth="1"/>
    <col min="29" max="29" style="1642" width="11.7109375" hidden="1" customWidth="1"/>
    <col min="30" max="30" style="1642" width="3.7109375" hidden="1" customWidth="1"/>
    <col min="31" max="31" style="1642" width="11.7109375" hidden="1" customWidth="1"/>
    <col min="32" max="32" style="1642" width="8.57421875" hidden="1" customWidth="1"/>
    <col min="33" max="33" style="1642" width="21.7109375" customWidth="1"/>
    <col min="34" max="37" style="1642" width="21.00390625" customWidth="1"/>
    <col min="38" max="38" style="1642" width="11.00390625" customWidth="1"/>
    <col min="39" max="39" style="1642" width="3.7109375" customWidth="1"/>
    <col min="40" max="40" style="1642" width="11.00390625" customWidth="1"/>
    <col min="41" max="41" style="1642" width="8.57421875" hidden="1" customWidth="1"/>
    <col min="42" max="42" style="1642" width="4.00390625" customWidth="1"/>
    <col min="43" max="43" style="1642" width="115.00390625" customWidth="1"/>
    <col min="44" max="48" style="1649" width="10.00390625" customWidth="1"/>
    <col min="49" max="49" style="1642" width="10.57421875" hidden="1"/>
  </cols>
  <sheetData>
    <row customHeight="1" ht="22.5" hidden="1">
      <c r="AB1" s="334"/>
      <c r="AC1" s="334"/>
      <c r="AK1" s="334"/>
      <c r="AL1" s="334"/>
      <c r="AW1" s="1162" t="s">
        <v>14</v>
      </c>
    </row>
    <row customHeight="1" ht="21" hidden="1">
      <c r="A2" s="1274"/>
      <c r="B2" s="1274"/>
      <c r="C2" s="1274"/>
      <c r="D2" s="1274"/>
      <c r="E2" s="2296">
        <v>1</v>
      </c>
      <c r="F2" s="1274"/>
      <c r="G2" s="1274"/>
      <c r="H2" s="1274"/>
      <c r="I2" s="1274"/>
      <c r="J2" s="1274"/>
      <c r="K2" s="1274"/>
      <c r="L2" s="1274"/>
      <c r="M2" s="1317"/>
      <c r="N2" s="695"/>
      <c r="O2" s="695"/>
      <c r="P2" s="695"/>
      <c r="Q2" s="368"/>
      <c r="R2" s="367"/>
      <c r="S2" s="367"/>
      <c r="T2" s="362"/>
      <c r="U2" s="1343">
        <f>INDEX(PT_DIFFERENTIATION_NUM_NTAR,MATCH(A2,PT_DIFFERENTIATION_NTAR_ID,0))</f>
      </c>
      <c r="V2" s="305" t="s">
        <v>215</v>
      </c>
      <c r="W2" s="307"/>
      <c r="X2" s="2249"/>
      <c r="Y2" s="2250"/>
      <c r="Z2" s="2250"/>
      <c r="AA2" s="2250"/>
      <c r="AB2" s="2250"/>
      <c r="AC2" s="2250"/>
      <c r="AD2" s="2250"/>
      <c r="AE2" s="2250"/>
      <c r="AF2" s="2251"/>
      <c r="AG2" s="2249">
        <f>INDEX(PT_DIFFERENTIATION_NTAR,MATCH(A2,PT_DIFFERENTIATION_NTAR_ID,0))</f>
      </c>
      <c r="AH2" s="2250"/>
      <c r="AI2" s="2250"/>
      <c r="AJ2" s="2250"/>
      <c r="AK2" s="2250"/>
      <c r="AL2" s="2250"/>
      <c r="AM2" s="2250"/>
      <c r="AN2" s="2250"/>
      <c r="AO2" s="2250"/>
      <c r="AP2" s="2251"/>
      <c r="AQ2" s="1265" t="s">
        <v>559</v>
      </c>
      <c r="AS2" s="507"/>
      <c r="AT2" s="507" t="str">
        <f>IF(V2="","",V2)</f>
        <v>Наименование тарифа</v>
      </c>
      <c r="AU2" s="507"/>
      <c r="AV2" s="507"/>
      <c r="AW2" s="1162">
        <v>0</v>
      </c>
    </row>
    <row customHeight="1" ht="21" hidden="1">
      <c r="A3" s="1274"/>
      <c r="B3" s="1274"/>
      <c r="C3" s="1274"/>
      <c r="D3" s="1274"/>
      <c r="E3" s="2297"/>
      <c r="F3" s="2296">
        <v>1</v>
      </c>
      <c r="G3" s="1274"/>
      <c r="H3" s="1274"/>
      <c r="I3" s="1274"/>
      <c r="J3" s="1274"/>
      <c r="K3" s="1274"/>
      <c r="L3" s="1274"/>
      <c r="M3" s="1317"/>
      <c r="N3" s="695"/>
      <c r="O3" s="695"/>
      <c r="P3" s="695"/>
      <c r="Q3" s="1339"/>
      <c r="R3" s="359"/>
      <c r="S3" s="516"/>
      <c r="T3" s="360"/>
      <c r="U3" s="1343">
        <f>INDEX(PT_DIFFERENTIATION_NUM_TER,MATCH(B3,PT_DIFFERENTIATION_TER_ID,0))</f>
      </c>
      <c r="V3" s="315" t="s">
        <v>560</v>
      </c>
      <c r="W3" s="307"/>
      <c r="X3" s="2249"/>
      <c r="Y3" s="2250"/>
      <c r="Z3" s="2250"/>
      <c r="AA3" s="2250"/>
      <c r="AB3" s="2250"/>
      <c r="AC3" s="2250"/>
      <c r="AD3" s="2250"/>
      <c r="AE3" s="2250"/>
      <c r="AF3" s="2251"/>
      <c r="AG3" s="2249">
        <f>INDEX(PT_DIFFERENTIATION_TER,MATCH(B3,PT_DIFFERENTIATION_TER_ID,0))</f>
      </c>
      <c r="AH3" s="2250"/>
      <c r="AI3" s="2250"/>
      <c r="AJ3" s="2250"/>
      <c r="AK3" s="2250"/>
      <c r="AL3" s="2250"/>
      <c r="AM3" s="2250"/>
      <c r="AN3" s="2250"/>
      <c r="AO3" s="2250"/>
      <c r="AP3" s="2251"/>
      <c r="AQ3" s="1265" t="s">
        <v>561</v>
      </c>
      <c r="AS3" s="507"/>
      <c r="AT3" s="507" t="str">
        <f>IF(V3="","",V3)</f>
        <v>Территория действия тарифа</v>
      </c>
      <c r="AU3" s="507"/>
      <c r="AV3" s="507"/>
      <c r="AW3" s="1162">
        <v>0</v>
      </c>
    </row>
    <row customHeight="1" ht="22.5" hidden="1">
      <c r="A4" s="1274"/>
      <c r="B4" s="1274"/>
      <c r="C4" s="1274"/>
      <c r="D4" s="1274"/>
      <c r="E4" s="2297"/>
      <c r="F4" s="2297"/>
      <c r="G4" s="2296">
        <v>1</v>
      </c>
      <c r="H4" s="1274"/>
      <c r="I4" s="1274"/>
      <c r="J4" s="1274"/>
      <c r="K4" s="1274"/>
      <c r="L4" s="1274"/>
      <c r="M4" s="1317"/>
      <c r="N4" s="695"/>
      <c r="O4" s="695"/>
      <c r="P4" s="695"/>
      <c r="Q4" s="361"/>
      <c r="R4" s="359"/>
      <c r="S4" s="516"/>
      <c r="T4" s="360"/>
      <c r="U4" s="1343">
        <f>INDEX(PT_DIFFERENTIATION_NUM_CS,MATCH(C4,PT_DIFFERENTIATION_CS_ID,0))</f>
      </c>
      <c r="V4" s="316" t="s">
        <v>562</v>
      </c>
      <c r="W4" s="307"/>
      <c r="X4" s="2249"/>
      <c r="Y4" s="2250"/>
      <c r="Z4" s="2250"/>
      <c r="AA4" s="2250"/>
      <c r="AB4" s="2250"/>
      <c r="AC4" s="2250"/>
      <c r="AD4" s="2250"/>
      <c r="AE4" s="2250"/>
      <c r="AF4" s="2251"/>
      <c r="AG4" s="2249">
        <f>INDEX(PT_DIFFERENTIATION_CS,MATCH(C4,PT_DIFFERENTIATION_CS_ID,0))</f>
      </c>
      <c r="AH4" s="2250"/>
      <c r="AI4" s="2250"/>
      <c r="AJ4" s="2250"/>
      <c r="AK4" s="2250"/>
      <c r="AL4" s="2250"/>
      <c r="AM4" s="2250"/>
      <c r="AN4" s="2250"/>
      <c r="AO4" s="2250"/>
      <c r="AP4" s="2251"/>
      <c r="AQ4" s="1265" t="s">
        <v>563</v>
      </c>
      <c r="AS4" s="507"/>
      <c r="AT4" s="507" t="str">
        <f>IF(V4="","",V4)</f>
        <v>Наименование системы теплоснабжения </v>
      </c>
      <c r="AU4" s="507"/>
      <c r="AV4" s="507"/>
      <c r="AW4" s="1162">
        <v>0</v>
      </c>
    </row>
    <row customHeight="1" ht="21" hidden="1">
      <c r="A5" s="1274"/>
      <c r="B5" s="1274"/>
      <c r="C5" s="1274"/>
      <c r="D5" s="1274"/>
      <c r="E5" s="2297"/>
      <c r="F5" s="2297"/>
      <c r="G5" s="2297"/>
      <c r="H5" s="2296">
        <v>1</v>
      </c>
      <c r="I5" s="1274"/>
      <c r="J5" s="1274"/>
      <c r="K5" s="1274"/>
      <c r="L5" s="1274"/>
      <c r="M5" s="1317"/>
      <c r="N5" s="695"/>
      <c r="O5" s="695"/>
      <c r="P5" s="695"/>
      <c r="Q5" s="361"/>
      <c r="R5" s="359"/>
      <c r="S5" s="516"/>
      <c r="T5" s="360"/>
      <c r="U5" s="1343">
        <f>INDEX(PT_DIFFERENTIATION_NUM_IST_TE,MATCH(D5,PT_DIFFERENTIATION_IST_TE_ID,0))</f>
      </c>
      <c r="V5" s="317" t="s">
        <v>564</v>
      </c>
      <c r="W5" s="307"/>
      <c r="X5" s="2249"/>
      <c r="Y5" s="2250"/>
      <c r="Z5" s="2250"/>
      <c r="AA5" s="2250"/>
      <c r="AB5" s="2250"/>
      <c r="AC5" s="2250"/>
      <c r="AD5" s="2250"/>
      <c r="AE5" s="2250"/>
      <c r="AF5" s="2251"/>
      <c r="AG5" s="2249">
        <f>INDEX(PT_DIFFERENTIATION_IST_TE,MATCH(D5,PT_DIFFERENTIATION_IST_TE_ID,0))</f>
      </c>
      <c r="AH5" s="2250"/>
      <c r="AI5" s="2250"/>
      <c r="AJ5" s="2250"/>
      <c r="AK5" s="2250"/>
      <c r="AL5" s="2250"/>
      <c r="AM5" s="2250"/>
      <c r="AN5" s="2250"/>
      <c r="AO5" s="2250"/>
      <c r="AP5" s="2251"/>
      <c r="AQ5" s="1265" t="s">
        <v>565</v>
      </c>
      <c r="AS5" s="507"/>
      <c r="AT5" s="507" t="str">
        <f>IF(V5="","",V5)</f>
        <v>Источник тепловой энергии  </v>
      </c>
      <c r="AU5" s="507"/>
      <c r="AV5" s="507"/>
      <c r="AW5" s="1162">
        <v>0</v>
      </c>
    </row>
    <row customHeight="1" ht="14.25" hidden="1">
      <c r="A6" s="1274"/>
      <c r="B6" s="1274"/>
      <c r="C6" s="1274"/>
      <c r="D6" s="1274"/>
      <c r="E6" s="2297"/>
      <c r="F6" s="2297"/>
      <c r="G6" s="2297"/>
      <c r="H6" s="2297"/>
      <c r="I6" s="2134">
        <f>U5&amp;".1"</f>
      </c>
      <c r="J6" s="1274"/>
      <c r="K6" s="1274"/>
      <c r="L6" s="1274"/>
      <c r="M6" s="1317" t="s">
        <v>566</v>
      </c>
      <c r="N6" s="516"/>
      <c r="Q6" s="2264">
        <v>1</v>
      </c>
      <c r="R6" s="1338"/>
      <c r="S6" s="1338"/>
      <c r="T6" s="363"/>
      <c r="U6" s="1049"/>
      <c r="V6" s="1390"/>
      <c r="W6" s="1391"/>
      <c r="X6" s="2303"/>
      <c r="Y6" s="2304"/>
      <c r="Z6" s="2304"/>
      <c r="AA6" s="2304"/>
      <c r="AB6" s="2304"/>
      <c r="AC6" s="2304"/>
      <c r="AD6" s="2304"/>
      <c r="AE6" s="2304"/>
      <c r="AF6" s="2305"/>
      <c r="AG6" s="2303"/>
      <c r="AH6" s="2304"/>
      <c r="AI6" s="2304"/>
      <c r="AJ6" s="2304"/>
      <c r="AK6" s="2304"/>
      <c r="AL6" s="2304"/>
      <c r="AM6" s="2304"/>
      <c r="AN6" s="2304"/>
      <c r="AO6" s="2304"/>
      <c r="AP6" s="2305"/>
      <c r="AQ6" s="1392"/>
      <c r="AS6" s="507"/>
      <c r="AT6" s="507" t="str">
        <f>IF(V6="","",V6)</f>
        <v/>
      </c>
      <c r="AU6" s="507"/>
      <c r="AV6" s="507"/>
      <c r="AW6" s="1162">
        <v>0</v>
      </c>
    </row>
    <row customHeight="1" ht="21" hidden="1">
      <c r="A7" s="1274"/>
      <c r="B7" s="1274"/>
      <c r="C7" s="1274"/>
      <c r="D7" s="1274"/>
      <c r="E7" s="2297"/>
      <c r="F7" s="2297"/>
      <c r="G7" s="2297"/>
      <c r="H7" s="2297"/>
      <c r="I7" s="2108"/>
      <c r="J7" s="2134">
        <f>I6&amp;".1"</f>
      </c>
      <c r="K7" s="1274"/>
      <c r="L7" s="1274"/>
      <c r="M7" s="1317" t="s">
        <v>569</v>
      </c>
      <c r="N7" s="516"/>
      <c r="O7" s="334"/>
      <c r="Q7" s="2264"/>
      <c r="R7" s="2264">
        <v>1</v>
      </c>
      <c r="S7" s="525"/>
      <c r="T7" s="364"/>
      <c r="U7" s="1343">
        <f>$J7</f>
      </c>
      <c r="V7" s="293" t="s">
        <v>570</v>
      </c>
      <c r="W7" s="307"/>
      <c r="X7" s="2252"/>
      <c r="Y7" s="2253"/>
      <c r="Z7" s="2253"/>
      <c r="AA7" s="2253"/>
      <c r="AB7" s="2253"/>
      <c r="AC7" s="2242"/>
      <c r="AD7" s="2242"/>
      <c r="AE7" s="2242"/>
      <c r="AF7" s="2315"/>
      <c r="AG7" s="2252"/>
      <c r="AH7" s="2253"/>
      <c r="AI7" s="2253"/>
      <c r="AJ7" s="2253"/>
      <c r="AK7" s="2253"/>
      <c r="AL7" s="2253"/>
      <c r="AM7" s="2253"/>
      <c r="AN7" s="2253"/>
      <c r="AO7" s="2253"/>
      <c r="AP7" s="2254"/>
      <c r="AQ7" s="1265" t="s">
        <v>571</v>
      </c>
      <c r="AS7" s="507"/>
      <c r="AT7" s="507" t="str">
        <f>IF(V7="","",V7)</f>
        <v>Группа потребителей</v>
      </c>
      <c r="AU7" s="507"/>
      <c r="AV7" s="507"/>
      <c r="AW7" s="1162">
        <v>0</v>
      </c>
    </row>
    <row customHeight="1" ht="21" hidden="1">
      <c r="A8" s="1274"/>
      <c r="B8" s="1274"/>
      <c r="C8" s="1274"/>
      <c r="D8" s="1274"/>
      <c r="E8" s="2297"/>
      <c r="F8" s="2297"/>
      <c r="G8" s="2297"/>
      <c r="H8" s="2297"/>
      <c r="I8" s="2108"/>
      <c r="J8" s="2108"/>
      <c r="K8" s="2134">
        <f>J7&amp;".1"</f>
      </c>
      <c r="L8" s="146"/>
      <c r="M8" s="1317" t="s">
        <v>572</v>
      </c>
      <c r="N8" s="516"/>
      <c r="O8" s="334"/>
      <c r="P8" s="334"/>
      <c r="Q8" s="2264"/>
      <c r="R8" s="2264"/>
      <c r="S8" s="2264">
        <v>1</v>
      </c>
      <c r="T8" s="364"/>
      <c r="U8" s="1343">
        <f>$K8</f>
      </c>
      <c r="V8" s="1354"/>
      <c r="W8" s="307"/>
      <c r="X8" s="758"/>
      <c r="Y8" s="758"/>
      <c r="Z8" s="758"/>
      <c r="AA8" s="758"/>
      <c r="AB8" s="1412"/>
      <c r="AC8" s="2272"/>
      <c r="AD8" s="2114" t="s">
        <v>66</v>
      </c>
      <c r="AE8" s="2272"/>
      <c r="AF8" s="2114" t="s">
        <v>66</v>
      </c>
      <c r="AG8" s="1414"/>
      <c r="AH8" s="758"/>
      <c r="AI8" s="758"/>
      <c r="AJ8" s="758"/>
      <c r="AK8" s="1264"/>
      <c r="AL8" s="2272"/>
      <c r="AM8" s="2114" t="s">
        <v>66</v>
      </c>
      <c r="AN8" s="2272"/>
      <c r="AO8" s="2114" t="s">
        <v>66</v>
      </c>
      <c r="AP8" s="332"/>
      <c r="AQ8" s="1314" t="s">
        <v>612</v>
      </c>
      <c r="AR8" s="518">
        <f>STRCHECKDATE(X10:AP10)</f>
      </c>
      <c r="AS8" s="507"/>
      <c r="AT8" s="507" t="str">
        <f>IF(V8="","",V8)</f>
        <v/>
      </c>
      <c r="AU8" s="507"/>
      <c r="AV8" s="507"/>
      <c r="AW8" s="1162">
        <v>0</v>
      </c>
    </row>
    <row customHeight="1" ht="21" hidden="1">
      <c r="A9" s="1274"/>
      <c r="B9" s="1274"/>
      <c r="C9" s="1274"/>
      <c r="D9" s="1274"/>
      <c r="E9" s="2297"/>
      <c r="F9" s="2297"/>
      <c r="G9" s="2297"/>
      <c r="H9" s="2297"/>
      <c r="I9" s="2108"/>
      <c r="J9" s="2108"/>
      <c r="K9" s="2108"/>
      <c r="L9" s="2134">
        <f>K8&amp;".1"</f>
      </c>
      <c r="M9" s="1317"/>
      <c r="N9" s="516"/>
      <c r="O9" s="334"/>
      <c r="P9" s="334"/>
      <c r="Q9" s="2264"/>
      <c r="R9" s="2264"/>
      <c r="S9" s="2264"/>
      <c r="T9" s="364"/>
      <c r="U9" s="1343">
        <f>$L9</f>
      </c>
      <c r="V9" s="1398"/>
      <c r="W9" s="307"/>
      <c r="X9" s="332"/>
      <c r="Y9" s="758"/>
      <c r="Z9" s="758"/>
      <c r="AA9" s="758"/>
      <c r="AB9" s="1412"/>
      <c r="AC9" s="2316"/>
      <c r="AD9" s="2114"/>
      <c r="AE9" s="2316"/>
      <c r="AF9" s="2114"/>
      <c r="AG9" s="1414"/>
      <c r="AH9" s="758"/>
      <c r="AI9" s="758"/>
      <c r="AJ9" s="758"/>
      <c r="AK9" s="1264"/>
      <c r="AL9" s="2316"/>
      <c r="AM9" s="2114"/>
      <c r="AN9" s="2316"/>
      <c r="AO9" s="2114"/>
      <c r="AP9" s="332"/>
      <c r="AQ9" s="2260" t="s">
        <v>613</v>
      </c>
      <c r="AS9" s="507"/>
      <c r="AT9" s="507"/>
      <c r="AU9" s="507"/>
      <c r="AV9" s="507"/>
      <c r="AW9" s="1162">
        <v>0</v>
      </c>
    </row>
    <row customHeight="1" ht="14.25" hidden="1">
      <c r="A10" s="1274"/>
      <c r="B10" s="1274"/>
      <c r="C10" s="1274"/>
      <c r="D10" s="1274"/>
      <c r="E10" s="2297"/>
      <c r="F10" s="2297"/>
      <c r="G10" s="2297"/>
      <c r="H10" s="2297"/>
      <c r="I10" s="2108"/>
      <c r="J10" s="2108"/>
      <c r="K10" s="2108"/>
      <c r="L10" s="2134"/>
      <c r="M10" s="1317"/>
      <c r="N10" s="516"/>
      <c r="O10" s="334"/>
      <c r="P10" s="334"/>
      <c r="Q10" s="2264"/>
      <c r="R10" s="2264"/>
      <c r="S10" s="2264"/>
      <c r="T10" s="364"/>
      <c r="U10" s="1349"/>
      <c r="V10" s="307"/>
      <c r="W10" s="307"/>
      <c r="X10" s="332"/>
      <c r="Y10" s="332"/>
      <c r="Z10" s="332"/>
      <c r="AA10" s="332"/>
      <c r="AB10" s="1413" t="str">
        <f>AC8&amp;"-"&amp;AE8</f>
        <v>-</v>
      </c>
      <c r="AC10" s="2316"/>
      <c r="AD10" s="2114"/>
      <c r="AE10" s="2316"/>
      <c r="AF10" s="2114"/>
      <c r="AG10" s="1389"/>
      <c r="AH10" s="332"/>
      <c r="AI10" s="332"/>
      <c r="AJ10" s="332"/>
      <c r="AK10" s="335" t="str">
        <f>AL8&amp;"-"&amp;AN8</f>
        <v>-</v>
      </c>
      <c r="AL10" s="2316"/>
      <c r="AM10" s="2114"/>
      <c r="AN10" s="2316"/>
      <c r="AO10" s="2114"/>
      <c r="AP10" s="332"/>
      <c r="AQ10" s="2261"/>
      <c r="AS10" s="507"/>
      <c r="AT10" s="507" t="str">
        <f>IF(V10="","",V10)</f>
        <v/>
      </c>
      <c r="AU10" s="507"/>
      <c r="AV10" s="507"/>
      <c r="AW10" s="1162">
        <v>0</v>
      </c>
    </row>
    <row customHeight="1" ht="11.25" hidden="1">
      <c r="A11" s="1274"/>
      <c r="B11" s="1274"/>
      <c r="C11" s="1274"/>
      <c r="D11" s="1274"/>
      <c r="E11" s="2297"/>
      <c r="F11" s="2297"/>
      <c r="G11" s="2297"/>
      <c r="H11" s="2297"/>
      <c r="I11" s="2108"/>
      <c r="J11" s="2108"/>
      <c r="K11" s="2134"/>
      <c r="L11" s="1274"/>
      <c r="M11" s="1317"/>
      <c r="N11" s="516"/>
      <c r="O11" s="334"/>
      <c r="P11" s="334"/>
      <c r="Q11" s="2264"/>
      <c r="R11" s="2264"/>
      <c r="S11" s="2264"/>
      <c r="T11" s="364"/>
      <c r="U11" s="1285"/>
      <c r="V11" s="295" t="s">
        <v>614</v>
      </c>
      <c r="W11" s="1399"/>
      <c r="X11" s="1400"/>
      <c r="Y11" s="1400"/>
      <c r="Z11" s="1400"/>
      <c r="AA11" s="1400"/>
      <c r="AB11" s="1401"/>
      <c r="AC11" s="2316"/>
      <c r="AD11" s="2114"/>
      <c r="AE11" s="2316"/>
      <c r="AF11" s="2114"/>
      <c r="AG11" s="1400"/>
      <c r="AH11" s="1400"/>
      <c r="AI11" s="1400"/>
      <c r="AJ11" s="1400"/>
      <c r="AK11" s="1401"/>
      <c r="AL11" s="2316"/>
      <c r="AM11" s="2114"/>
      <c r="AN11" s="2316"/>
      <c r="AO11" s="2114"/>
      <c r="AP11" s="1402"/>
      <c r="AQ11" s="2261"/>
      <c r="AS11" s="507"/>
      <c r="AT11" s="507"/>
      <c r="AU11" s="507"/>
      <c r="AV11" s="507"/>
      <c r="AW11" s="1162">
        <v>0</v>
      </c>
    </row>
    <row customHeight="1" ht="15" hidden="1">
      <c r="A12" s="1274"/>
      <c r="B12" s="1274"/>
      <c r="C12" s="1274"/>
      <c r="D12" s="1274"/>
      <c r="E12" s="2297"/>
      <c r="F12" s="2297"/>
      <c r="G12" s="2297"/>
      <c r="H12" s="2297"/>
      <c r="I12" s="2108"/>
      <c r="J12" s="2134"/>
      <c r="K12" s="1274"/>
      <c r="L12" s="1274"/>
      <c r="M12" s="1317"/>
      <c r="N12" s="516"/>
      <c r="O12" s="334"/>
      <c r="Q12" s="2264"/>
      <c r="R12" s="2264"/>
      <c r="S12" s="1338"/>
      <c r="T12" s="363"/>
      <c r="U12" s="1285"/>
      <c r="V12" s="294" t="s">
        <v>574</v>
      </c>
      <c r="W12" s="374"/>
      <c r="X12" s="374"/>
      <c r="Y12" s="374"/>
      <c r="Z12" s="374"/>
      <c r="AA12" s="374"/>
      <c r="AB12" s="374"/>
      <c r="AC12" s="1415"/>
      <c r="AD12" s="1415"/>
      <c r="AE12" s="1415"/>
      <c r="AF12" s="1415"/>
      <c r="AG12" s="374"/>
      <c r="AH12" s="374"/>
      <c r="AI12" s="374"/>
      <c r="AJ12" s="374"/>
      <c r="AK12" s="374"/>
      <c r="AL12" s="374"/>
      <c r="AM12" s="374"/>
      <c r="AN12" s="374"/>
      <c r="AO12" s="374"/>
      <c r="AP12" s="331"/>
      <c r="AQ12" s="2262"/>
      <c r="AS12" s="507"/>
      <c r="AT12" s="507" t="str">
        <f>IF(V12="","",V12)</f>
        <v>Добавить вид теплоносителя (параметры теплоносителя)</v>
      </c>
      <c r="AU12" s="507"/>
      <c r="AV12" s="507"/>
      <c r="AW12" s="1162">
        <v>0</v>
      </c>
    </row>
    <row customHeight="1" ht="11.25" hidden="1">
      <c r="A13" s="1274"/>
      <c r="B13" s="1274"/>
      <c r="C13" s="1274"/>
      <c r="D13" s="1274"/>
      <c r="E13" s="2297"/>
      <c r="F13" s="2297"/>
      <c r="G13" s="2297"/>
      <c r="H13" s="2297"/>
      <c r="I13" s="2134"/>
      <c r="J13" s="1274"/>
      <c r="K13" s="1274"/>
      <c r="L13" s="1274"/>
      <c r="M13" s="1317"/>
      <c r="N13" s="516"/>
      <c r="Q13" s="2264"/>
      <c r="R13" s="1338"/>
      <c r="S13" s="1338"/>
      <c r="T13" s="363"/>
      <c r="U13" s="1285"/>
      <c r="V13" s="372" t="s">
        <v>575</v>
      </c>
      <c r="W13" s="374"/>
      <c r="X13" s="374"/>
      <c r="Y13" s="374"/>
      <c r="Z13" s="374"/>
      <c r="AA13" s="374"/>
      <c r="AB13" s="374"/>
      <c r="AC13" s="374"/>
      <c r="AD13" s="374"/>
      <c r="AE13" s="374"/>
      <c r="AF13" s="373"/>
      <c r="AG13" s="374"/>
      <c r="AH13" s="374"/>
      <c r="AI13" s="374"/>
      <c r="AJ13" s="374"/>
      <c r="AK13" s="374"/>
      <c r="AL13" s="374"/>
      <c r="AM13" s="374"/>
      <c r="AN13" s="374"/>
      <c r="AO13" s="373"/>
      <c r="AP13" s="374"/>
      <c r="AQ13" s="310"/>
      <c r="AS13" s="507"/>
      <c r="AT13" s="507" t="str">
        <f>IF(V13="","",V13)</f>
        <v>Добавить группу потребителей</v>
      </c>
      <c r="AU13" s="507"/>
      <c r="AV13" s="507"/>
      <c r="AW13" s="1162">
        <v>0</v>
      </c>
    </row>
    <row customHeight="1" ht="14.25" hidden="1">
      <c r="A14" s="1274"/>
      <c r="B14" s="1274"/>
      <c r="C14" s="1274"/>
      <c r="D14" s="1274"/>
      <c r="E14" s="2297"/>
      <c r="F14" s="2297"/>
      <c r="G14" s="2297"/>
      <c r="H14" s="2296"/>
      <c r="I14" s="1274"/>
      <c r="J14" s="1274"/>
      <c r="K14" s="1274"/>
      <c r="L14" s="1274"/>
      <c r="M14" s="1317"/>
      <c r="N14" s="695"/>
      <c r="O14" s="695"/>
      <c r="P14" s="516"/>
      <c r="Q14" s="367"/>
      <c r="R14" s="382"/>
      <c r="S14" s="362"/>
      <c r="T14" s="367"/>
      <c r="U14" s="1393"/>
      <c r="V14" s="1394"/>
      <c r="W14" s="1395"/>
      <c r="X14" s="1395"/>
      <c r="Y14" s="1395"/>
      <c r="Z14" s="1395"/>
      <c r="AA14" s="1395"/>
      <c r="AB14" s="1395"/>
      <c r="AC14" s="1395"/>
      <c r="AD14" s="1395"/>
      <c r="AE14" s="1395"/>
      <c r="AF14" s="1395"/>
      <c r="AG14" s="1395"/>
      <c r="AH14" s="1395"/>
      <c r="AI14" s="1395"/>
      <c r="AJ14" s="1395"/>
      <c r="AK14" s="1395"/>
      <c r="AL14" s="1395"/>
      <c r="AM14" s="1395"/>
      <c r="AN14" s="1395"/>
      <c r="AO14" s="1395"/>
      <c r="AP14" s="1395"/>
      <c r="AQ14" s="1396"/>
      <c r="AS14" s="507"/>
      <c r="AT14" s="507" t="str">
        <f>IF(V14="","",V14)</f>
        <v/>
      </c>
      <c r="AU14" s="507"/>
      <c r="AV14" s="507"/>
      <c r="AW14" s="1162">
        <v>0</v>
      </c>
    </row>
    <row s="1649" customFormat="1" customHeight="1" ht="14.25" hidden="1">
      <c r="A15" s="1381"/>
      <c r="B15" s="1381"/>
      <c r="C15" s="1381"/>
      <c r="D15" s="1381"/>
      <c r="E15" s="2297"/>
      <c r="F15" s="2297"/>
      <c r="G15" s="2296"/>
      <c r="H15" s="1381"/>
      <c r="I15" s="1381"/>
      <c r="J15" s="1381"/>
      <c r="K15" s="1381"/>
      <c r="L15" s="1381"/>
      <c r="M15" s="1384"/>
      <c r="N15" s="1385"/>
      <c r="O15" s="1385"/>
      <c r="P15" s="358"/>
      <c r="Q15" s="1323"/>
      <c r="R15" s="1324"/>
      <c r="S15" s="1323"/>
      <c r="T15" s="1323"/>
      <c r="U15" s="1325"/>
      <c r="V15" s="1326" t="s">
        <v>577</v>
      </c>
      <c r="W15" s="1327"/>
      <c r="X15" s="1327"/>
      <c r="Y15" s="1327"/>
      <c r="Z15" s="1327"/>
      <c r="AA15" s="1327"/>
      <c r="AB15" s="1327"/>
      <c r="AC15" s="1327"/>
      <c r="AD15" s="1327"/>
      <c r="AE15" s="1327"/>
      <c r="AF15" s="1327"/>
      <c r="AG15" s="1327"/>
      <c r="AH15" s="1327"/>
      <c r="AI15" s="1327"/>
      <c r="AJ15" s="1327"/>
      <c r="AK15" s="1327"/>
      <c r="AL15" s="1327"/>
      <c r="AM15" s="1327"/>
      <c r="AN15" s="1327"/>
      <c r="AO15" s="1327"/>
      <c r="AP15" s="1327"/>
      <c r="AQ15" s="1327"/>
      <c r="AS15" s="796"/>
      <c r="AT15" s="796" t="str">
        <f>IF(V15="","",V15)</f>
        <v>Добавить источник для дифференциации</v>
      </c>
      <c r="AU15" s="796"/>
      <c r="AV15" s="796"/>
      <c r="AW15" s="525">
        <v>0</v>
      </c>
    </row>
    <row s="1649" customFormat="1" customHeight="1" ht="14.25" hidden="1">
      <c r="A16" s="1381"/>
      <c r="B16" s="1381"/>
      <c r="C16" s="1381"/>
      <c r="D16" s="1381"/>
      <c r="E16" s="2297"/>
      <c r="F16" s="2296"/>
      <c r="G16" s="1381"/>
      <c r="H16" s="1381"/>
      <c r="I16" s="1381"/>
      <c r="J16" s="1381"/>
      <c r="K16" s="1381"/>
      <c r="L16" s="1381"/>
      <c r="M16" s="1384"/>
      <c r="N16" s="1386"/>
      <c r="O16" s="1386"/>
      <c r="P16" s="358"/>
      <c r="Q16" s="1323"/>
      <c r="R16" s="1324"/>
      <c r="S16" s="1323"/>
      <c r="T16" s="1323"/>
      <c r="U16" s="1329"/>
      <c r="V16" s="1330" t="s">
        <v>316</v>
      </c>
      <c r="W16" s="1331"/>
      <c r="X16" s="1331"/>
      <c r="Y16" s="1331"/>
      <c r="Z16" s="1331"/>
      <c r="AA16" s="1331"/>
      <c r="AB16" s="1331"/>
      <c r="AC16" s="1331"/>
      <c r="AD16" s="1331"/>
      <c r="AE16" s="1331"/>
      <c r="AF16" s="1331"/>
      <c r="AG16" s="1331"/>
      <c r="AH16" s="1331"/>
      <c r="AI16" s="1331"/>
      <c r="AJ16" s="1331"/>
      <c r="AK16" s="1331"/>
      <c r="AL16" s="1331"/>
      <c r="AM16" s="1331"/>
      <c r="AN16" s="1331"/>
      <c r="AO16" s="1331"/>
      <c r="AP16" s="1331"/>
      <c r="AQ16" s="1331"/>
      <c r="AS16" s="796"/>
      <c r="AT16" s="796" t="str">
        <f>IF(V16="","",V16)</f>
        <v>Добавить централизованную систему для дифференциации</v>
      </c>
      <c r="AU16" s="796"/>
      <c r="AV16" s="796"/>
      <c r="AW16" s="525">
        <v>0</v>
      </c>
    </row>
    <row s="1649" customFormat="1" customHeight="1" ht="14.25" hidden="1">
      <c r="A17" s="1381"/>
      <c r="B17" s="1381"/>
      <c r="C17" s="1381"/>
      <c r="D17" s="1381"/>
      <c r="E17" s="2296"/>
      <c r="F17" s="1381"/>
      <c r="G17" s="1381"/>
      <c r="H17" s="1381"/>
      <c r="I17" s="1381"/>
      <c r="J17" s="1381"/>
      <c r="K17" s="1381"/>
      <c r="L17" s="1381"/>
      <c r="M17" s="1384"/>
      <c r="N17" s="1386"/>
      <c r="O17" s="1386"/>
      <c r="P17" s="358"/>
      <c r="Q17" s="1323"/>
      <c r="R17" s="1324"/>
      <c r="S17" s="1323"/>
      <c r="T17" s="1323"/>
      <c r="U17" s="1329"/>
      <c r="V17" s="1332" t="s">
        <v>390</v>
      </c>
      <c r="W17" s="1331"/>
      <c r="X17" s="1331"/>
      <c r="Y17" s="1331"/>
      <c r="Z17" s="1331"/>
      <c r="AA17" s="1331"/>
      <c r="AB17" s="1331"/>
      <c r="AC17" s="1331"/>
      <c r="AD17" s="1331"/>
      <c r="AE17" s="1331"/>
      <c r="AF17" s="1331"/>
      <c r="AG17" s="1331"/>
      <c r="AH17" s="1331"/>
      <c r="AI17" s="1331"/>
      <c r="AJ17" s="1331"/>
      <c r="AK17" s="1331"/>
      <c r="AL17" s="1331"/>
      <c r="AM17" s="1331"/>
      <c r="AN17" s="1331"/>
      <c r="AO17" s="1331"/>
      <c r="AP17" s="1331"/>
      <c r="AQ17" s="1331"/>
      <c r="AS17" s="796"/>
      <c r="AT17" s="796" t="str">
        <f>IF(V17="","",V17)</f>
        <v>Добавить территорию для дифференциации</v>
      </c>
      <c r="AU17" s="796"/>
      <c r="AV17" s="796"/>
      <c r="AW17" s="525">
        <v>0</v>
      </c>
    </row>
    <row customHeight="1" ht="14.25" hidden="1">
      <c r="AF18" s="334"/>
      <c r="AO18" s="334"/>
      <c r="AW18" s="1162">
        <v>0</v>
      </c>
    </row>
    <row customHeight="1" ht="14.25" hidden="1">
      <c r="AG19" s="1367"/>
      <c r="AH19" s="1367"/>
      <c r="AI19" s="1367"/>
      <c r="AJ19" s="1367"/>
      <c r="AK19" s="1368"/>
      <c r="AL19" s="2274"/>
      <c r="AM19" s="2275" t="s">
        <v>66</v>
      </c>
      <c r="AN19" s="2274"/>
      <c r="AO19" s="2275" t="s">
        <v>66</v>
      </c>
      <c r="AW19" s="1162">
        <v>0</v>
      </c>
    </row>
    <row customHeight="1" ht="14.25" hidden="1">
      <c r="AG20" s="1367"/>
      <c r="AH20" s="1367"/>
      <c r="AI20" s="1367"/>
      <c r="AJ20" s="1367"/>
      <c r="AK20" s="1368"/>
      <c r="AL20" s="2274"/>
      <c r="AM20" s="2275"/>
      <c r="AN20" s="2274"/>
      <c r="AO20" s="2275"/>
      <c r="AW20" s="1162">
        <v>0</v>
      </c>
    </row>
    <row customHeight="1" ht="14.25" hidden="1">
      <c r="AG21" s="1367"/>
      <c r="AH21" s="1367"/>
      <c r="AI21" s="1367"/>
      <c r="AJ21" s="1367"/>
      <c r="AK21" s="1368"/>
      <c r="AL21" s="2274"/>
      <c r="AM21" s="2275"/>
      <c r="AN21" s="2274"/>
      <c r="AO21" s="2275"/>
      <c r="AW21" s="1162">
        <v>0</v>
      </c>
    </row>
    <row customHeight="1" ht="14.25" hidden="1">
      <c r="AG22" s="1367"/>
      <c r="AH22" s="1367"/>
      <c r="AI22" s="1367"/>
      <c r="AJ22" s="1367"/>
      <c r="AK22" s="335" t="str">
        <f>AL19&amp;"-"&amp;AN19</f>
        <v>-</v>
      </c>
      <c r="AL22" s="2275"/>
      <c r="AM22" s="2275"/>
      <c r="AN22" s="2275"/>
      <c r="AO22" s="2275"/>
      <c r="AW22" s="1162">
        <v>0</v>
      </c>
    </row>
    <row customHeight="1" ht="14.25" hidden="1">
      <c r="AO23" s="334"/>
      <c r="AW23" s="1162">
        <v>0</v>
      </c>
    </row>
    <row s="1373" customFormat="1" customHeight="1" ht="22.5" hidden="1">
      <c r="A24" s="1162"/>
      <c r="B24" s="1162"/>
      <c r="C24" s="1162"/>
      <c r="D24" s="1162"/>
      <c r="E24" s="1162"/>
      <c r="F24" s="1162"/>
      <c r="G24" s="1162"/>
      <c r="H24" s="1162"/>
      <c r="I24" s="1162"/>
      <c r="J24" s="1162"/>
      <c r="K24" s="1162"/>
      <c r="L24" s="1162"/>
      <c r="M24" s="1334"/>
      <c r="N24" s="1335"/>
      <c r="O24" s="1335"/>
      <c r="P24" s="1352" t="s">
        <v>578</v>
      </c>
      <c r="Q24" s="1369"/>
      <c r="R24" s="1378"/>
      <c r="S24" s="1378"/>
      <c r="T24" s="1378"/>
      <c r="U24" s="736"/>
      <c r="AC24" s="1374"/>
      <c r="AE24" s="1374"/>
      <c r="AF24" s="1373"/>
      <c r="AL24" s="1374"/>
      <c r="AN24" s="1374"/>
      <c r="AO24" s="1373"/>
      <c r="AR24" s="518"/>
      <c r="AS24" s="518"/>
      <c r="AT24" s="518"/>
      <c r="AU24" s="518"/>
      <c r="AV24" s="518"/>
      <c r="AW24" s="1167">
        <v>0</v>
      </c>
    </row>
    <row s="1373" customFormat="1" customHeight="1" ht="14.25" hidden="1">
      <c r="A25" s="1162"/>
      <c r="B25" s="1162"/>
      <c r="C25" s="1162"/>
      <c r="D25" s="1162"/>
      <c r="E25" s="1162"/>
      <c r="F25" s="1162"/>
      <c r="G25" s="1162"/>
      <c r="H25" s="1162"/>
      <c r="I25" s="1162"/>
      <c r="J25" s="1162"/>
      <c r="K25" s="1162"/>
      <c r="L25" s="1162"/>
      <c r="M25" s="1334"/>
      <c r="N25" s="1335"/>
      <c r="O25" s="1335"/>
      <c r="P25" s="1335"/>
      <c r="Q25" s="1369"/>
      <c r="R25" s="1378"/>
      <c r="S25" s="1378"/>
      <c r="T25" s="1378"/>
      <c r="U25" s="736"/>
      <c r="AF25" s="1373"/>
      <c r="AO25" s="1373"/>
      <c r="AR25" s="518"/>
      <c r="AS25" s="518"/>
      <c r="AT25" s="518"/>
      <c r="AU25" s="518"/>
      <c r="AV25" s="518"/>
      <c r="AW25" s="1167">
        <v>0</v>
      </c>
    </row>
    <row s="1373" customFormat="1" customHeight="1" ht="14.25" hidden="1">
      <c r="A26" s="1162"/>
      <c r="B26" s="1162"/>
      <c r="C26" s="1162"/>
      <c r="D26" s="1162"/>
      <c r="E26" s="1162"/>
      <c r="F26" s="1162"/>
      <c r="G26" s="1162"/>
      <c r="H26" s="1162"/>
      <c r="I26" s="1162"/>
      <c r="J26" s="1162"/>
      <c r="K26" s="1162"/>
      <c r="L26" s="1162"/>
      <c r="M26" s="1334"/>
      <c r="N26" s="1335"/>
      <c r="O26" s="1335"/>
      <c r="P26" s="1317" t="s">
        <v>579</v>
      </c>
      <c r="Q26" s="1369"/>
      <c r="R26" s="1378"/>
      <c r="S26" s="1378"/>
      <c r="T26" s="1378"/>
      <c r="U26" s="736"/>
      <c r="V26" s="1167" t="s">
        <v>580</v>
      </c>
      <c r="AD26" s="193" t="s">
        <v>581</v>
      </c>
      <c r="AF26" s="193" t="s">
        <v>582</v>
      </c>
      <c r="AG26" s="1167" t="s">
        <v>580</v>
      </c>
      <c r="AM26" s="193" t="s">
        <v>583</v>
      </c>
      <c r="AO26" s="193" t="s">
        <v>582</v>
      </c>
      <c r="AR26" s="518"/>
      <c r="AS26" s="518"/>
      <c r="AT26" s="518"/>
      <c r="AU26" s="518"/>
      <c r="AV26" s="518"/>
      <c r="AW26" s="1167">
        <v>0</v>
      </c>
    </row>
    <row customHeight="1" ht="14.25" hidden="1">
      <c r="P27" s="1317"/>
      <c r="AW27" s="1162">
        <v>0</v>
      </c>
    </row>
    <row customHeight="1" ht="14.25" hidden="1">
      <c r="P28" s="1317"/>
      <c r="AW28" s="1162">
        <v>0</v>
      </c>
    </row>
    <row customHeight="1" ht="14.699999999999998">
      <c r="R29" s="383"/>
      <c r="S29" s="383"/>
      <c r="T29" s="383"/>
      <c r="U29" s="1282"/>
      <c r="V29" s="370"/>
      <c r="W29" s="370"/>
      <c r="X29" s="516"/>
      <c r="Y29" s="516"/>
      <c r="Z29" s="516"/>
      <c r="AA29" s="516"/>
      <c r="AB29" s="516"/>
      <c r="AC29" s="516"/>
      <c r="AD29" s="516"/>
      <c r="AE29" s="516"/>
      <c r="AF29" s="516"/>
      <c r="AG29" s="516"/>
      <c r="AH29" s="516"/>
      <c r="AI29" s="516"/>
      <c r="AJ29" s="516"/>
      <c r="AK29" s="516"/>
      <c r="AL29" s="516"/>
      <c r="AM29" s="516"/>
      <c r="AN29" s="516"/>
      <c r="AO29" s="516"/>
      <c r="AW29" s="1162">
        <v>14</v>
      </c>
    </row>
    <row customHeight="1" ht="56.699999999999996">
      <c r="R30" s="383"/>
      <c r="S30" s="383"/>
      <c r="T30" s="383"/>
      <c r="U30" s="2255"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5"/>
      <c r="W30" s="2255"/>
      <c r="X30" s="2255"/>
      <c r="Y30" s="2255"/>
      <c r="Z30" s="2255"/>
      <c r="AA30" s="2255"/>
      <c r="AB30" s="2255"/>
      <c r="AC30" s="2255"/>
      <c r="AD30" s="2255"/>
      <c r="AE30" s="2255"/>
      <c r="AF30" s="2255"/>
      <c r="AG30" s="2255"/>
      <c r="AH30" s="2255"/>
      <c r="AI30" s="2255"/>
      <c r="AJ30" s="2255"/>
      <c r="AK30" s="2255"/>
      <c r="AL30" s="2255"/>
      <c r="AM30" s="2255"/>
      <c r="AN30" s="2255"/>
      <c r="AO30" s="1250"/>
      <c r="AW30" s="1162">
        <v>54</v>
      </c>
    </row>
    <row customHeight="1" ht="14.699999999999998">
      <c r="R31" s="383"/>
      <c r="S31" s="383"/>
      <c r="T31" s="383"/>
      <c r="U31" s="2256" t="str">
        <f>IF(org=0,"Не определено",org)</f>
        <v>ГУП "Белоблводоканал"</v>
      </c>
      <c r="V31" s="2256"/>
      <c r="W31" s="2256"/>
      <c r="X31" s="2256"/>
      <c r="Y31" s="2256"/>
      <c r="Z31" s="2256"/>
      <c r="AA31" s="2256"/>
      <c r="AB31" s="2256"/>
      <c r="AC31" s="2256"/>
      <c r="AD31" s="2256"/>
      <c r="AE31" s="2256"/>
      <c r="AF31" s="2256"/>
      <c r="AG31" s="2256"/>
      <c r="AH31" s="2256"/>
      <c r="AI31" s="2256"/>
      <c r="AJ31" s="2256"/>
      <c r="AK31" s="2256"/>
      <c r="AL31" s="2256"/>
      <c r="AM31" s="2256"/>
      <c r="AN31" s="2256"/>
      <c r="AO31" s="1250"/>
      <c r="AW31" s="1162">
        <v>14</v>
      </c>
    </row>
    <row customHeight="1" ht="14.25" hidden="1">
      <c r="R32" s="383"/>
      <c r="S32" s="383"/>
      <c r="T32" s="383"/>
      <c r="U32" s="1282"/>
      <c r="V32" s="370"/>
      <c r="W32" s="370"/>
      <c r="X32" s="329"/>
      <c r="Y32" s="329"/>
      <c r="Z32" s="329"/>
      <c r="AA32" s="329"/>
      <c r="AB32" s="329"/>
      <c r="AC32" s="329"/>
      <c r="AD32" s="329"/>
      <c r="AE32" s="329"/>
      <c r="AF32" s="329"/>
      <c r="AG32" s="329"/>
      <c r="AH32" s="329"/>
      <c r="AI32" s="329"/>
      <c r="AJ32" s="329"/>
      <c r="AK32" s="329"/>
      <c r="AL32" s="329"/>
      <c r="AM32" s="329"/>
      <c r="AN32" s="329"/>
      <c r="AO32" s="329"/>
      <c r="AP32" s="516"/>
      <c r="AW32" s="1162">
        <v>0</v>
      </c>
    </row>
    <row s="1860" customFormat="1" customHeight="1" ht="25.5" hidden="1">
      <c r="A33" s="1255"/>
      <c r="B33" s="1255"/>
      <c r="C33" s="1255"/>
      <c r="D33" s="1255"/>
      <c r="E33" s="1255"/>
      <c r="F33" s="1255"/>
      <c r="G33" s="1255"/>
      <c r="H33" s="1255"/>
      <c r="I33" s="1255"/>
      <c r="J33" s="1255"/>
      <c r="K33" s="1255"/>
      <c r="L33" s="1255"/>
      <c r="M33" s="1387"/>
      <c r="N33" s="1255"/>
      <c r="O33" s="1255"/>
      <c r="P33" s="1255"/>
      <c r="U33" s="2257" t="s">
        <v>42</v>
      </c>
      <c r="V33" s="2257"/>
      <c r="W33" s="1379"/>
      <c r="X33" s="2258" t="str">
        <f>IF(TITLE_NAME_OR_PR_CHANGE="",IF(TITLE_NAME_OR_PR="","",TITLE_NAME_OR_PR),TITLE_NAME_OR_PR_CHANGE)</f>
        <v/>
      </c>
      <c r="Y33" s="2258"/>
      <c r="Z33" s="2258"/>
      <c r="AA33" s="2258"/>
      <c r="AB33" s="2258"/>
      <c r="AC33" s="2258"/>
      <c r="AD33" s="2258"/>
      <c r="AE33" s="2258"/>
      <c r="AF33" s="333"/>
      <c r="AG33" s="2258" t="str">
        <f>IF(TITLE_NAME_OR_PR_CHANGE="",IF(TITLE_NAME_OR_PR="","",TITLE_NAME_OR_PR),TITLE_NAME_OR_PR_CHANGE)</f>
        <v/>
      </c>
      <c r="AH33" s="2258"/>
      <c r="AI33" s="2258"/>
      <c r="AJ33" s="2258"/>
      <c r="AK33" s="2258"/>
      <c r="AL33" s="2258"/>
      <c r="AM33" s="2258"/>
      <c r="AN33" s="2258"/>
      <c r="AO33" s="333"/>
      <c r="AP33" s="333"/>
      <c r="AQ33" s="287"/>
      <c r="AR33" s="375"/>
      <c r="AS33" s="375"/>
      <c r="AT33" s="375"/>
      <c r="AU33" s="375"/>
      <c r="AV33" s="375"/>
      <c r="AW33" s="425">
        <v>0</v>
      </c>
    </row>
    <row s="1860" customFormat="1" customHeight="1" ht="18.75" hidden="1">
      <c r="A34" s="1255"/>
      <c r="B34" s="1255"/>
      <c r="C34" s="1255"/>
      <c r="D34" s="1255"/>
      <c r="E34" s="1255"/>
      <c r="F34" s="1255"/>
      <c r="G34" s="1255"/>
      <c r="H34" s="1255"/>
      <c r="I34" s="1255"/>
      <c r="J34" s="1255"/>
      <c r="K34" s="1255"/>
      <c r="L34" s="1255"/>
      <c r="M34" s="1387"/>
      <c r="N34" s="1255"/>
      <c r="O34" s="1255"/>
      <c r="P34" s="1255"/>
      <c r="U34" s="2257" t="s">
        <v>584</v>
      </c>
      <c r="V34" s="2257"/>
      <c r="W34" s="1379"/>
      <c r="X34" s="2271" t="str">
        <f>IF(TITLE_DATE_PR_CHANGE="",IF(TITLE_DATE_PR="","",TITLE_DATE_PR),TITLE_DATE_PR_CHANGE)</f>
        <v>45432</v>
      </c>
      <c r="Y34" s="2271"/>
      <c r="Z34" s="2271"/>
      <c r="AA34" s="2271"/>
      <c r="AB34" s="2271"/>
      <c r="AC34" s="2271"/>
      <c r="AD34" s="2271"/>
      <c r="AE34" s="2271"/>
      <c r="AF34" s="333"/>
      <c r="AG34" s="2271" t="str">
        <f>IF(TITLE_DATE_PR_CHANGE="",IF(TITLE_DATE_PR="","",TITLE_DATE_PR),TITLE_DATE_PR_CHANGE)</f>
        <v>45432</v>
      </c>
      <c r="AH34" s="2271"/>
      <c r="AI34" s="2271"/>
      <c r="AJ34" s="2271"/>
      <c r="AK34" s="2271"/>
      <c r="AL34" s="2271"/>
      <c r="AM34" s="2271"/>
      <c r="AN34" s="2271"/>
      <c r="AO34" s="333"/>
      <c r="AP34" s="333"/>
      <c r="AQ34" s="287"/>
      <c r="AR34" s="375"/>
      <c r="AS34" s="375"/>
      <c r="AT34" s="375"/>
      <c r="AU34" s="375"/>
      <c r="AV34" s="375"/>
      <c r="AW34" s="425">
        <v>0</v>
      </c>
    </row>
    <row s="1860" customFormat="1" customHeight="1" ht="18.75" hidden="1">
      <c r="A35" s="1255"/>
      <c r="B35" s="1255"/>
      <c r="C35" s="1255"/>
      <c r="D35" s="1255"/>
      <c r="E35" s="1255"/>
      <c r="F35" s="1255"/>
      <c r="G35" s="1255"/>
      <c r="H35" s="1255"/>
      <c r="I35" s="1255"/>
      <c r="J35" s="1255"/>
      <c r="K35" s="1255"/>
      <c r="L35" s="1255"/>
      <c r="M35" s="1387"/>
      <c r="N35" s="1255"/>
      <c r="O35" s="1255"/>
      <c r="P35" s="1255"/>
      <c r="U35" s="2257" t="s">
        <v>585</v>
      </c>
      <c r="V35" s="2257"/>
      <c r="W35" s="1379"/>
      <c r="X35" s="2258" t="str">
        <f>IF(TITLE_NUMBER_PR_CHANGE="",IF(TITLE_NUMBER_PR="","",TITLE_NUMBER_PR),TITLE_NUMBER_PR_CHANGE)</f>
        <v>29-12/1427</v>
      </c>
      <c r="Y35" s="2258"/>
      <c r="Z35" s="2258"/>
      <c r="AA35" s="2258"/>
      <c r="AB35" s="2258"/>
      <c r="AC35" s="2258"/>
      <c r="AD35" s="2258"/>
      <c r="AE35" s="2258"/>
      <c r="AF35" s="333"/>
      <c r="AG35" s="2258" t="str">
        <f>IF(TITLE_NUMBER_PR_CHANGE="",IF(TITLE_NUMBER_PR="","",TITLE_NUMBER_PR),TITLE_NUMBER_PR_CHANGE)</f>
        <v>29-12/1427</v>
      </c>
      <c r="AH35" s="2258"/>
      <c r="AI35" s="2258"/>
      <c r="AJ35" s="2258"/>
      <c r="AK35" s="2258"/>
      <c r="AL35" s="2258"/>
      <c r="AM35" s="2258"/>
      <c r="AN35" s="2258"/>
      <c r="AO35" s="333"/>
      <c r="AP35" s="333"/>
      <c r="AQ35" s="287"/>
      <c r="AR35" s="375"/>
      <c r="AS35" s="375"/>
      <c r="AT35" s="375"/>
      <c r="AU35" s="375"/>
      <c r="AV35" s="375"/>
      <c r="AW35" s="425">
        <v>0</v>
      </c>
    </row>
    <row s="1860" customFormat="1" customHeight="1" ht="18.75" hidden="1">
      <c r="A36" s="1255"/>
      <c r="B36" s="1255"/>
      <c r="C36" s="1255"/>
      <c r="D36" s="1255"/>
      <c r="E36" s="1255"/>
      <c r="F36" s="1255"/>
      <c r="G36" s="1255"/>
      <c r="H36" s="1255"/>
      <c r="I36" s="1255"/>
      <c r="J36" s="1255"/>
      <c r="K36" s="1255"/>
      <c r="L36" s="1255"/>
      <c r="M36" s="1387"/>
      <c r="N36" s="1255"/>
      <c r="O36" s="1255"/>
      <c r="P36" s="1255"/>
      <c r="U36" s="2257" t="s">
        <v>43</v>
      </c>
      <c r="V36" s="2257"/>
      <c r="W36" s="1379"/>
      <c r="X36" s="2258" t="str">
        <f>IF(TITLE_IST_PUB_CHANGE="",IF(TITLE_IST_PUB="","",TITLE_IST_PUB),TITLE_IST_PUB_CHANGE)</f>
        <v/>
      </c>
      <c r="Y36" s="2258"/>
      <c r="Z36" s="2258"/>
      <c r="AA36" s="2258"/>
      <c r="AB36" s="2258"/>
      <c r="AC36" s="2258"/>
      <c r="AD36" s="2258"/>
      <c r="AE36" s="2258"/>
      <c r="AF36" s="333"/>
      <c r="AG36" s="2258" t="str">
        <f>IF(TITLE_IST_PUB_CHANGE="",IF(TITLE_IST_PUB="","",TITLE_IST_PUB),TITLE_IST_PUB_CHANGE)</f>
        <v/>
      </c>
      <c r="AH36" s="2258"/>
      <c r="AI36" s="2258"/>
      <c r="AJ36" s="2258"/>
      <c r="AK36" s="2258"/>
      <c r="AL36" s="2258"/>
      <c r="AM36" s="2258"/>
      <c r="AN36" s="2258"/>
      <c r="AO36" s="333"/>
      <c r="AP36" s="333"/>
      <c r="AQ36" s="287"/>
      <c r="AR36" s="375"/>
      <c r="AS36" s="375"/>
      <c r="AT36" s="375"/>
      <c r="AU36" s="375"/>
      <c r="AV36" s="375"/>
      <c r="AW36" s="425">
        <v>0</v>
      </c>
    </row>
    <row customHeight="1" ht="14.25">
      <c r="R37" s="383"/>
      <c r="S37" s="383"/>
      <c r="T37" s="383"/>
      <c r="U37" s="1282"/>
      <c r="V37" s="370"/>
      <c r="W37" s="370"/>
      <c r="X37" s="329"/>
      <c r="Y37" s="329"/>
      <c r="Z37" s="329"/>
      <c r="AA37" s="329"/>
      <c r="AB37" s="329"/>
      <c r="AC37" s="329"/>
      <c r="AD37" s="329"/>
      <c r="AE37" s="329"/>
      <c r="AF37" s="329"/>
      <c r="AG37" s="329"/>
      <c r="AH37" s="329"/>
      <c r="AI37" s="329"/>
      <c r="AJ37" s="329"/>
      <c r="AK37" s="329"/>
      <c r="AL37" s="329"/>
      <c r="AM37" s="329"/>
      <c r="AN37" s="329"/>
      <c r="AO37" s="329"/>
      <c r="AP37" s="516"/>
      <c r="AW37" s="1162">
        <v>0</v>
      </c>
    </row>
    <row s="1860" customFormat="1" customHeight="1" ht="18.75">
      <c r="A38" s="1255"/>
      <c r="B38" s="1255"/>
      <c r="C38" s="1255"/>
      <c r="D38" s="1255"/>
      <c r="E38" s="1255"/>
      <c r="F38" s="1255"/>
      <c r="G38" s="1255"/>
      <c r="H38" s="1255"/>
      <c r="I38" s="1255"/>
      <c r="J38" s="1255"/>
      <c r="K38" s="1255"/>
      <c r="L38" s="1255"/>
      <c r="M38" s="1387"/>
      <c r="N38" s="1255"/>
      <c r="O38" s="1255"/>
      <c r="P38" s="1255"/>
      <c r="U38" s="2257" t="s">
        <v>586</v>
      </c>
      <c r="V38" s="2257"/>
      <c r="W38" s="1379"/>
      <c r="X38" s="2271" t="str">
        <f>IF(TITLE_DATE_PR_CHANGE="",IF(TITLE_DATE_PR="","",TITLE_DATE_PR),TITLE_DATE_PR_CHANGE)</f>
        <v>45432</v>
      </c>
      <c r="Y38" s="2271"/>
      <c r="Z38" s="2271"/>
      <c r="AA38" s="2271"/>
      <c r="AB38" s="2271"/>
      <c r="AC38" s="2271"/>
      <c r="AD38" s="2271"/>
      <c r="AE38" s="2271"/>
      <c r="AF38" s="333"/>
      <c r="AG38" s="2271" t="str">
        <f>IF(TITLE_DATE_PR_CHANGE="",IF(TITLE_DATE_PR="","",TITLE_DATE_PR),TITLE_DATE_PR_CHANGE)</f>
        <v>45432</v>
      </c>
      <c r="AH38" s="2271"/>
      <c r="AI38" s="2271"/>
      <c r="AJ38" s="2271"/>
      <c r="AK38" s="2271"/>
      <c r="AL38" s="2271"/>
      <c r="AM38" s="2271"/>
      <c r="AN38" s="2271"/>
      <c r="AO38" s="333"/>
      <c r="AP38" s="333"/>
      <c r="AQ38" s="287"/>
      <c r="AR38" s="375"/>
      <c r="AS38" s="375"/>
      <c r="AT38" s="375"/>
      <c r="AU38" s="375"/>
      <c r="AV38" s="375"/>
      <c r="AW38" s="425">
        <v>0</v>
      </c>
    </row>
    <row s="1860" customFormat="1" customHeight="1" ht="18.75">
      <c r="A39" s="1255"/>
      <c r="B39" s="1255"/>
      <c r="C39" s="1255"/>
      <c r="D39" s="1255"/>
      <c r="E39" s="1255"/>
      <c r="F39" s="1255"/>
      <c r="G39" s="1255"/>
      <c r="H39" s="1255"/>
      <c r="I39" s="1255"/>
      <c r="J39" s="1255"/>
      <c r="K39" s="1255"/>
      <c r="L39" s="1255"/>
      <c r="M39" s="1387"/>
      <c r="N39" s="1255"/>
      <c r="O39" s="1255"/>
      <c r="P39" s="1255"/>
      <c r="U39" s="2257" t="s">
        <v>587</v>
      </c>
      <c r="V39" s="2257"/>
      <c r="W39" s="1379"/>
      <c r="X39" s="2258" t="str">
        <f>IF(TITLE_NUMBER_PR_CHANGE="",IF(TITLE_NUMBER_PR="","",TITLE_NUMBER_PR),TITLE_NUMBER_PR_CHANGE)</f>
        <v>29-12/1427</v>
      </c>
      <c r="Y39" s="2258"/>
      <c r="Z39" s="2258"/>
      <c r="AA39" s="2258"/>
      <c r="AB39" s="2258"/>
      <c r="AC39" s="2258"/>
      <c r="AD39" s="2258"/>
      <c r="AE39" s="2258"/>
      <c r="AF39" s="333"/>
      <c r="AG39" s="2258" t="str">
        <f>IF(TITLE_NUMBER_PR_CHANGE="",IF(TITLE_NUMBER_PR="","",TITLE_NUMBER_PR),TITLE_NUMBER_PR_CHANGE)</f>
        <v>29-12/1427</v>
      </c>
      <c r="AH39" s="2258"/>
      <c r="AI39" s="2258"/>
      <c r="AJ39" s="2258"/>
      <c r="AK39" s="2258"/>
      <c r="AL39" s="2258"/>
      <c r="AM39" s="2258"/>
      <c r="AN39" s="2258"/>
      <c r="AO39" s="333"/>
      <c r="AP39" s="333"/>
      <c r="AQ39" s="287"/>
      <c r="AR39" s="375"/>
      <c r="AS39" s="375"/>
      <c r="AT39" s="375"/>
      <c r="AU39" s="375"/>
      <c r="AV39" s="375"/>
      <c r="AW39" s="425">
        <v>0</v>
      </c>
    </row>
    <row s="1860" customFormat="1" customHeight="1" ht="0">
      <c r="A40" s="1255"/>
      <c r="B40" s="1255"/>
      <c r="C40" s="1255"/>
      <c r="D40" s="1255"/>
      <c r="E40" s="1255"/>
      <c r="F40" s="1255"/>
      <c r="G40" s="1255"/>
      <c r="H40" s="1255"/>
      <c r="I40" s="1255"/>
      <c r="J40" s="1255"/>
      <c r="K40" s="1255"/>
      <c r="L40" s="1255"/>
      <c r="M40" s="1387"/>
      <c r="N40" s="1255"/>
      <c r="O40" s="1255"/>
      <c r="P40" s="1255"/>
      <c r="U40" s="330"/>
      <c r="V40" s="330"/>
      <c r="W40" s="1347"/>
      <c r="X40" s="333"/>
      <c r="Y40" s="333"/>
      <c r="Z40" s="333"/>
      <c r="AA40" s="333"/>
      <c r="AB40" s="333"/>
      <c r="AC40" s="333"/>
      <c r="AD40" s="333"/>
      <c r="AE40" s="333"/>
      <c r="AF40" s="285" t="s">
        <v>588</v>
      </c>
      <c r="AG40" s="333"/>
      <c r="AH40" s="333"/>
      <c r="AI40" s="333"/>
      <c r="AJ40" s="333"/>
      <c r="AK40" s="333"/>
      <c r="AL40" s="333"/>
      <c r="AM40" s="333"/>
      <c r="AN40" s="333"/>
      <c r="AO40" s="285" t="s">
        <v>588</v>
      </c>
      <c r="AR40" s="375"/>
      <c r="AS40" s="375"/>
      <c r="AT40" s="375"/>
      <c r="AU40" s="375"/>
      <c r="AV40" s="375"/>
      <c r="AW40" s="425">
        <v>0</v>
      </c>
    </row>
    <row customHeight="1" ht="14.699999999999998">
      <c r="R41" s="383"/>
      <c r="S41" s="383"/>
      <c r="T41" s="383"/>
      <c r="U41" s="1282"/>
      <c r="V41" s="370"/>
      <c r="W41" s="1251"/>
      <c r="X41" s="2259"/>
      <c r="Y41" s="2259"/>
      <c r="Z41" s="2259"/>
      <c r="AA41" s="2259"/>
      <c r="AB41" s="2259"/>
      <c r="AC41" s="2259"/>
      <c r="AD41" s="2259"/>
      <c r="AE41" s="2259"/>
      <c r="AF41" s="2259"/>
      <c r="AG41" s="2259"/>
      <c r="AH41" s="2259"/>
      <c r="AI41" s="2259"/>
      <c r="AJ41" s="2259"/>
      <c r="AK41" s="2259"/>
      <c r="AL41" s="2259"/>
      <c r="AM41" s="2259"/>
      <c r="AN41" s="2259"/>
      <c r="AO41" s="2259"/>
      <c r="AW41" s="1162">
        <v>14</v>
      </c>
    </row>
    <row customHeight="1" ht="14.699999999999998">
      <c r="R42" s="383"/>
      <c r="S42" s="383"/>
      <c r="T42" s="383"/>
      <c r="U42" s="2134" t="s">
        <v>463</v>
      </c>
      <c r="V42" s="2134"/>
      <c r="W42" s="2134"/>
      <c r="X42" s="2134"/>
      <c r="Y42" s="2134"/>
      <c r="Z42" s="2134"/>
      <c r="AA42" s="2134"/>
      <c r="AB42" s="2134"/>
      <c r="AC42" s="2134"/>
      <c r="AD42" s="2134"/>
      <c r="AE42" s="2134"/>
      <c r="AF42" s="2134"/>
      <c r="AG42" s="2134"/>
      <c r="AH42" s="2134"/>
      <c r="AI42" s="2134"/>
      <c r="AJ42" s="2134"/>
      <c r="AK42" s="2134"/>
      <c r="AL42" s="2134"/>
      <c r="AM42" s="2134"/>
      <c r="AN42" s="2134"/>
      <c r="AO42" s="2134"/>
      <c r="AP42" s="2134"/>
      <c r="AQ42" s="2134" t="s">
        <v>464</v>
      </c>
      <c r="AW42" s="1162">
        <v>14</v>
      </c>
    </row>
    <row customHeight="1" ht="14.699999999999998">
      <c r="R43" s="383"/>
      <c r="S43" s="383"/>
      <c r="T43" s="383"/>
      <c r="U43" s="2280" t="s">
        <v>88</v>
      </c>
      <c r="V43" s="2216" t="s">
        <v>589</v>
      </c>
      <c r="W43" s="308"/>
      <c r="X43" s="2281" t="s">
        <v>590</v>
      </c>
      <c r="Y43" s="2298"/>
      <c r="Z43" s="2298"/>
      <c r="AA43" s="2298"/>
      <c r="AB43" s="2298"/>
      <c r="AC43" s="2282"/>
      <c r="AD43" s="2282"/>
      <c r="AE43" s="2283"/>
      <c r="AF43" s="2284" t="s">
        <v>591</v>
      </c>
      <c r="AG43" s="2281" t="s">
        <v>590</v>
      </c>
      <c r="AH43" s="2298"/>
      <c r="AI43" s="2298"/>
      <c r="AJ43" s="2298"/>
      <c r="AK43" s="2298"/>
      <c r="AL43" s="2282"/>
      <c r="AM43" s="2282"/>
      <c r="AN43" s="2283"/>
      <c r="AO43" s="2284" t="s">
        <v>592</v>
      </c>
      <c r="AP43" s="2287" t="s">
        <v>593</v>
      </c>
      <c r="AQ43" s="2134"/>
      <c r="AW43" s="1162">
        <v>14</v>
      </c>
    </row>
    <row customHeight="1" ht="35.699999999999996">
      <c r="R44" s="383"/>
      <c r="S44" s="383"/>
      <c r="T44" s="383"/>
      <c r="U44" s="2280"/>
      <c r="V44" s="2216"/>
      <c r="W44" s="1038"/>
      <c r="X44" s="2301" t="s">
        <v>615</v>
      </c>
      <c r="Y44" s="2319" t="s">
        <v>616</v>
      </c>
      <c r="Z44" s="2319"/>
      <c r="AA44" s="2319"/>
      <c r="AB44" s="2319"/>
      <c r="AC44" s="2301" t="s">
        <v>597</v>
      </c>
      <c r="AD44" s="2618"/>
      <c r="AE44" s="2321"/>
      <c r="AF44" s="2285"/>
      <c r="AG44" s="2301" t="s">
        <v>615</v>
      </c>
      <c r="AH44" s="2319" t="s">
        <v>616</v>
      </c>
      <c r="AI44" s="2319"/>
      <c r="AJ44" s="2319"/>
      <c r="AK44" s="2319"/>
      <c r="AL44" s="2301" t="s">
        <v>597</v>
      </c>
      <c r="AM44" s="2618"/>
      <c r="AN44" s="2321"/>
      <c r="AO44" s="2285"/>
      <c r="AP44" s="2288"/>
      <c r="AQ44" s="2134"/>
      <c r="AW44" s="1162">
        <v>34</v>
      </c>
    </row>
    <row customHeight="1" ht="14.699999999999998">
      <c r="R45" s="383"/>
      <c r="S45" s="383"/>
      <c r="T45" s="383"/>
      <c r="U45" s="2280"/>
      <c r="V45" s="2216"/>
      <c r="W45" s="1038"/>
      <c r="X45" s="2332"/>
      <c r="Y45" s="2324" t="s">
        <v>617</v>
      </c>
      <c r="Z45" s="2277" t="s">
        <v>618</v>
      </c>
      <c r="AA45" s="2327"/>
      <c r="AB45" s="2278"/>
      <c r="AC45" s="2302"/>
      <c r="AD45" s="2619"/>
      <c r="AE45" s="2323"/>
      <c r="AF45" s="2285"/>
      <c r="AG45" s="2332"/>
      <c r="AH45" s="2324" t="s">
        <v>617</v>
      </c>
      <c r="AI45" s="2277" t="s">
        <v>618</v>
      </c>
      <c r="AJ45" s="2327"/>
      <c r="AK45" s="2278"/>
      <c r="AL45" s="2302"/>
      <c r="AM45" s="2619"/>
      <c r="AN45" s="2323"/>
      <c r="AO45" s="2285"/>
      <c r="AP45" s="2288"/>
      <c r="AQ45" s="2134"/>
      <c r="AW45" s="1162">
        <v>14</v>
      </c>
    </row>
    <row customHeight="1" ht="27.299999999999997">
      <c r="R46" s="383"/>
      <c r="S46" s="383"/>
      <c r="T46" s="383"/>
      <c r="U46" s="2280"/>
      <c r="V46" s="2216"/>
      <c r="W46" s="1038"/>
      <c r="X46" s="2332"/>
      <c r="Y46" s="2325"/>
      <c r="Z46" s="2324" t="s">
        <v>619</v>
      </c>
      <c r="AA46" s="2277" t="s">
        <v>620</v>
      </c>
      <c r="AB46" s="2278"/>
      <c r="AC46" s="2324" t="s">
        <v>607</v>
      </c>
      <c r="AD46" s="2328" t="s">
        <v>608</v>
      </c>
      <c r="AE46" s="2329"/>
      <c r="AF46" s="2285"/>
      <c r="AG46" s="2332"/>
      <c r="AH46" s="2325"/>
      <c r="AI46" s="2324" t="s">
        <v>619</v>
      </c>
      <c r="AJ46" s="2277" t="s">
        <v>620</v>
      </c>
      <c r="AK46" s="2278"/>
      <c r="AL46" s="2324" t="s">
        <v>607</v>
      </c>
      <c r="AM46" s="2328" t="s">
        <v>608</v>
      </c>
      <c r="AN46" s="2329"/>
      <c r="AO46" s="2285"/>
      <c r="AP46" s="2288"/>
      <c r="AQ46" s="2134"/>
      <c r="AW46" s="1162">
        <v>26</v>
      </c>
    </row>
    <row customHeight="1" ht="65.25">
      <c r="A47" s="1266"/>
      <c r="B47" s="1266" t="s">
        <v>227</v>
      </c>
      <c r="C47" s="1266" t="s">
        <v>228</v>
      </c>
      <c r="D47" s="1266" t="s">
        <v>229</v>
      </c>
      <c r="E47" s="1317" t="s">
        <v>598</v>
      </c>
      <c r="F47" s="1317" t="s">
        <v>599</v>
      </c>
      <c r="G47" s="1317" t="s">
        <v>600</v>
      </c>
      <c r="H47" s="1317" t="s">
        <v>601</v>
      </c>
      <c r="I47" s="1317" t="s">
        <v>602</v>
      </c>
      <c r="J47" s="1317" t="s">
        <v>603</v>
      </c>
      <c r="K47" s="1317" t="s">
        <v>604</v>
      </c>
      <c r="L47" s="1317" t="s">
        <v>621</v>
      </c>
      <c r="M47" s="1317" t="s">
        <v>579</v>
      </c>
      <c r="R47" s="383"/>
      <c r="S47" s="383"/>
      <c r="T47" s="383"/>
      <c r="U47" s="2280"/>
      <c r="V47" s="2216"/>
      <c r="W47" s="309"/>
      <c r="X47" s="2302"/>
      <c r="Y47" s="2326"/>
      <c r="Z47" s="2326"/>
      <c r="AA47" s="1229" t="s">
        <v>622</v>
      </c>
      <c r="AB47" s="1229" t="s">
        <v>623</v>
      </c>
      <c r="AC47" s="2326"/>
      <c r="AD47" s="2330"/>
      <c r="AE47" s="2331"/>
      <c r="AF47" s="2286"/>
      <c r="AG47" s="2302"/>
      <c r="AH47" s="2326"/>
      <c r="AI47" s="2326"/>
      <c r="AJ47" s="1229" t="s">
        <v>622</v>
      </c>
      <c r="AK47" s="1229" t="s">
        <v>623</v>
      </c>
      <c r="AL47" s="2326"/>
      <c r="AM47" s="2330"/>
      <c r="AN47" s="2331"/>
      <c r="AO47" s="2286"/>
      <c r="AP47" s="2289"/>
      <c r="AQ47" s="2134"/>
      <c r="AW47" s="1162">
        <v>62</v>
      </c>
    </row>
    <row s="1648" customFormat="1" customHeight="1" ht="11.25" hidden="1">
      <c r="A48" s="1266"/>
      <c r="B48" s="1266"/>
      <c r="C48" s="1266"/>
      <c r="D48" s="1266"/>
      <c r="E48" s="1266"/>
      <c r="F48" s="1266"/>
      <c r="G48" s="1266"/>
      <c r="H48" s="1266"/>
      <c r="I48" s="1266"/>
      <c r="J48" s="1266"/>
      <c r="K48" s="1266"/>
      <c r="L48" s="1266"/>
      <c r="M48" s="1317"/>
      <c r="N48" s="1335"/>
      <c r="O48" s="1335"/>
      <c r="P48" s="1335"/>
      <c r="Q48" s="1253"/>
      <c r="R48" s="1254"/>
      <c r="S48" s="1261">
        <v>1</v>
      </c>
      <c r="T48" s="1261"/>
      <c r="U48" s="1284" t="s">
        <v>108</v>
      </c>
      <c r="V48" s="1262" t="s">
        <v>99</v>
      </c>
      <c r="W48" s="1252" t="str">
        <f>OFFSET(W48,0,-1)</f>
        <v>2</v>
      </c>
      <c r="X48" s="1342">
        <f>OFFSET(X48,0,-1)+1</f>
        <v>3</v>
      </c>
      <c r="Y48" s="1348"/>
      <c r="Z48" s="1348"/>
      <c r="AA48" s="1348">
        <f>OFFSET(AA48,0,-1)+1</f>
        <v>1</v>
      </c>
      <c r="AB48" s="1348">
        <f>OFFSET(AB48,0,-1)+1</f>
        <v>2</v>
      </c>
      <c r="AC48" s="1342">
        <f>OFFSET(AC48,0,-1)+1</f>
        <v>3</v>
      </c>
      <c r="AD48" s="2279">
        <f>OFFSET(AD48,0,-1)+1</f>
        <v>4</v>
      </c>
      <c r="AE48" s="2279"/>
      <c r="AF48" s="1342">
        <f>OFFSET(AF48,0,-2)+1</f>
        <v>5</v>
      </c>
      <c r="AG48" s="1342">
        <f>OFFSET(AG48,0,-1)+1</f>
        <v>6</v>
      </c>
      <c r="AH48" s="1342"/>
      <c r="AI48" s="1342"/>
      <c r="AJ48" s="1342">
        <f>OFFSET(AJ48,0,-1)+1</f>
        <v>1</v>
      </c>
      <c r="AK48" s="1342">
        <f>OFFSET(AK48,0,-1)+1</f>
        <v>2</v>
      </c>
      <c r="AL48" s="1342">
        <f>OFFSET(AL48,0,-1)+1</f>
        <v>3</v>
      </c>
      <c r="AM48" s="2279">
        <f>OFFSET(AM48,0,-1)+1</f>
        <v>4</v>
      </c>
      <c r="AN48" s="2279"/>
      <c r="AO48" s="1342">
        <f>OFFSET(AO48,0,-2)+1</f>
        <v>5</v>
      </c>
      <c r="AP48" s="1252">
        <f>OFFSET(AP48,0,-1)</f>
        <v>5</v>
      </c>
      <c r="AQ48" s="1342">
        <f>OFFSET(AQ48,0,-1)+1</f>
        <v>6</v>
      </c>
      <c r="AR48" s="518"/>
      <c r="AS48" s="518"/>
      <c r="AT48" s="518"/>
      <c r="AU48" s="518"/>
      <c r="AV48" s="518"/>
      <c r="AW48" s="503">
        <v>0</v>
      </c>
    </row>
    <row customHeight="1" ht="22.049999999999997">
      <c r="A49" s="1274" t="s">
        <v>260</v>
      </c>
      <c r="B49" s="1274"/>
      <c r="C49" s="1274"/>
      <c r="D49" s="1274"/>
      <c r="E49" s="2296">
        <v>1</v>
      </c>
      <c r="F49" s="1274"/>
      <c r="G49" s="1274"/>
      <c r="H49" s="1274"/>
      <c r="I49" s="1274"/>
      <c r="J49" s="1274"/>
      <c r="K49" s="1274"/>
      <c r="L49" s="1274"/>
      <c r="M49" s="1317"/>
      <c r="N49" s="695"/>
      <c r="O49" s="695"/>
      <c r="P49" s="695"/>
      <c r="Q49" s="368"/>
      <c r="R49" s="367"/>
      <c r="S49" s="367"/>
      <c r="T49" s="362"/>
      <c r="U49" s="1343">
        <f>INDEX(PT_DIFFERENTIATION_NUM_NTAR,MATCH(A49,PT_DIFFERENTIATION_NTAR_ID,0))</f>
        <v>0</v>
      </c>
      <c r="V49" s="305" t="s">
        <v>215</v>
      </c>
      <c r="W49" s="307"/>
      <c r="X49" s="2249"/>
      <c r="Y49" s="2250"/>
      <c r="Z49" s="2250"/>
      <c r="AA49" s="2250"/>
      <c r="AB49" s="2250"/>
      <c r="AC49" s="2250"/>
      <c r="AD49" s="2250"/>
      <c r="AE49" s="2250"/>
      <c r="AF49" s="2251"/>
      <c r="AG49" s="2249" t="str">
        <f>INDEX(PT_DIFFERENTIATION_NTAR,MATCH(A49,PT_DIFFERENTIATION_NTAR_ID,0))</f>
        <v/>
      </c>
      <c r="AH49" s="2250"/>
      <c r="AI49" s="2250"/>
      <c r="AJ49" s="2250"/>
      <c r="AK49" s="2250"/>
      <c r="AL49" s="2250"/>
      <c r="AM49" s="2250"/>
      <c r="AN49" s="2250"/>
      <c r="AO49" s="2250"/>
      <c r="AP49" s="2251"/>
      <c r="AQ49" s="126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7"/>
      <c r="AT49" s="507" t="str">
        <f>IF(V49="","",V49)</f>
        <v>Наименование тарифа</v>
      </c>
      <c r="AU49" s="507"/>
      <c r="AV49" s="507"/>
      <c r="AW49" s="1162">
        <v>21</v>
      </c>
    </row>
    <row customHeight="1" ht="22.049999999999997">
      <c r="A50" s="1274" t="s">
        <v>260</v>
      </c>
      <c r="B50" s="1274" t="s">
        <v>261</v>
      </c>
      <c r="C50" s="1274"/>
      <c r="D50" s="1274"/>
      <c r="E50" s="2297"/>
      <c r="F50" s="2296">
        <v>1</v>
      </c>
      <c r="G50" s="1274"/>
      <c r="H50" s="1274"/>
      <c r="I50" s="1274"/>
      <c r="J50" s="1274"/>
      <c r="K50" s="1274"/>
      <c r="L50" s="1274"/>
      <c r="M50" s="1317"/>
      <c r="N50" s="695"/>
      <c r="O50" s="695"/>
      <c r="P50" s="695"/>
      <c r="Q50" s="1339"/>
      <c r="R50" s="359"/>
      <c r="S50" s="516"/>
      <c r="T50" s="360"/>
      <c r="U50" s="1343" t="str">
        <f>INDEX(PT_DIFFERENTIATION_NUM_TER,MATCH(B50,PT_DIFFERENTIATION_TER_ID,0))</f>
        <v>.</v>
      </c>
      <c r="V50" s="315" t="s">
        <v>560</v>
      </c>
      <c r="W50" s="307"/>
      <c r="X50" s="2249"/>
      <c r="Y50" s="2250"/>
      <c r="Z50" s="2250"/>
      <c r="AA50" s="2250"/>
      <c r="AB50" s="2250"/>
      <c r="AC50" s="2250"/>
      <c r="AD50" s="2250"/>
      <c r="AE50" s="2250"/>
      <c r="AF50" s="2251"/>
      <c r="AG50" s="2249" t="str">
        <f>INDEX(PT_DIFFERENTIATION_TER,MATCH(B50,PT_DIFFERENTIATION_TER_ID,0))</f>
        <v/>
      </c>
      <c r="AH50" s="2250"/>
      <c r="AI50" s="2250"/>
      <c r="AJ50" s="2250"/>
      <c r="AK50" s="2250"/>
      <c r="AL50" s="2250"/>
      <c r="AM50" s="2250"/>
      <c r="AN50" s="2250"/>
      <c r="AO50" s="2250"/>
      <c r="AP50" s="2251"/>
      <c r="AQ50" s="1265" t="s">
        <v>561</v>
      </c>
      <c r="AS50" s="507"/>
      <c r="AT50" s="507" t="str">
        <f>IF(V50="","",V50)</f>
        <v>Территория действия тарифа</v>
      </c>
      <c r="AU50" s="507"/>
      <c r="AV50" s="507"/>
      <c r="AW50" s="1162">
        <v>21</v>
      </c>
    </row>
    <row customHeight="1" ht="24">
      <c r="A51" s="1274" t="s">
        <v>260</v>
      </c>
      <c r="B51" s="1274" t="s">
        <v>261</v>
      </c>
      <c r="C51" s="1274" t="s">
        <v>262</v>
      </c>
      <c r="D51" s="1274"/>
      <c r="E51" s="2297"/>
      <c r="F51" s="2297"/>
      <c r="G51" s="2296">
        <v>1</v>
      </c>
      <c r="H51" s="1274"/>
      <c r="I51" s="1274"/>
      <c r="J51" s="1274"/>
      <c r="K51" s="1274"/>
      <c r="L51" s="1274"/>
      <c r="M51" s="1317"/>
      <c r="N51" s="695"/>
      <c r="O51" s="695"/>
      <c r="P51" s="695"/>
      <c r="Q51" s="361"/>
      <c r="R51" s="359"/>
      <c r="S51" s="516"/>
      <c r="T51" s="360"/>
      <c r="U51" s="1343" t="str">
        <f>INDEX(PT_DIFFERENTIATION_NUM_CS,MATCH(C51,PT_DIFFERENTIATION_CS_ID,0))</f>
        <v>..</v>
      </c>
      <c r="V51" s="316" t="s">
        <v>562</v>
      </c>
      <c r="W51" s="307"/>
      <c r="X51" s="2249"/>
      <c r="Y51" s="2250"/>
      <c r="Z51" s="2250"/>
      <c r="AA51" s="2250"/>
      <c r="AB51" s="2250"/>
      <c r="AC51" s="2250"/>
      <c r="AD51" s="2250"/>
      <c r="AE51" s="2250"/>
      <c r="AF51" s="2251"/>
      <c r="AG51" s="2249" t="str">
        <f>INDEX(PT_DIFFERENTIATION_CS,MATCH(C51,PT_DIFFERENTIATION_CS_ID,0))</f>
        <v/>
      </c>
      <c r="AH51" s="2250"/>
      <c r="AI51" s="2250"/>
      <c r="AJ51" s="2250"/>
      <c r="AK51" s="2250"/>
      <c r="AL51" s="2250"/>
      <c r="AM51" s="2250"/>
      <c r="AN51" s="2250"/>
      <c r="AO51" s="2250"/>
      <c r="AP51" s="2251"/>
      <c r="AQ51" s="1265" t="s">
        <v>563</v>
      </c>
      <c r="AS51" s="507"/>
      <c r="AT51" s="507" t="str">
        <f>IF(V51="","",V51)</f>
        <v>Наименование системы теплоснабжения </v>
      </c>
      <c r="AU51" s="507"/>
      <c r="AV51" s="507"/>
      <c r="AW51" s="1162">
        <v>23</v>
      </c>
    </row>
    <row customHeight="1" ht="22.049999999999997">
      <c r="A52" s="1274" t="s">
        <v>260</v>
      </c>
      <c r="B52" s="1274" t="s">
        <v>261</v>
      </c>
      <c r="C52" s="1274" t="s">
        <v>262</v>
      </c>
      <c r="D52" s="1274" t="s">
        <v>263</v>
      </c>
      <c r="E52" s="2297"/>
      <c r="F52" s="2297"/>
      <c r="G52" s="2297"/>
      <c r="H52" s="2317">
        <v>1</v>
      </c>
      <c r="I52" s="1274"/>
      <c r="J52" s="1274"/>
      <c r="K52" s="1274"/>
      <c r="L52" s="1274"/>
      <c r="M52" s="1317"/>
      <c r="N52" s="695"/>
      <c r="O52" s="695"/>
      <c r="P52" s="695"/>
      <c r="Q52" s="361"/>
      <c r="R52" s="359"/>
      <c r="S52" s="516"/>
      <c r="T52" s="360"/>
      <c r="U52" s="1343" t="str">
        <f>INDEX(PT_DIFFERENTIATION_NUM_IST_TE,MATCH(D52,PT_DIFFERENTIATION_IST_TE_ID,0))</f>
        <v>...</v>
      </c>
      <c r="V52" s="317" t="s">
        <v>564</v>
      </c>
      <c r="W52" s="307"/>
      <c r="X52" s="2249"/>
      <c r="Y52" s="2250"/>
      <c r="Z52" s="2250"/>
      <c r="AA52" s="2250"/>
      <c r="AB52" s="2250"/>
      <c r="AC52" s="2250"/>
      <c r="AD52" s="2250"/>
      <c r="AE52" s="2250"/>
      <c r="AF52" s="2251"/>
      <c r="AG52" s="2249" t="str">
        <f>INDEX(PT_DIFFERENTIATION_IST_TE,MATCH(D52,PT_DIFFERENTIATION_IST_TE_ID,0))</f>
        <v/>
      </c>
      <c r="AH52" s="2250"/>
      <c r="AI52" s="2250"/>
      <c r="AJ52" s="2250"/>
      <c r="AK52" s="2250"/>
      <c r="AL52" s="2250"/>
      <c r="AM52" s="2250"/>
      <c r="AN52" s="2250"/>
      <c r="AO52" s="2250"/>
      <c r="AP52" s="2251"/>
      <c r="AQ52" s="1265" t="s">
        <v>565</v>
      </c>
      <c r="AS52" s="507"/>
      <c r="AT52" s="507" t="str">
        <f>IF(V52="","",V52)</f>
        <v>Источник тепловой энергии  </v>
      </c>
      <c r="AU52" s="507"/>
      <c r="AV52" s="507"/>
      <c r="AW52" s="1162">
        <v>21</v>
      </c>
    </row>
    <row s="1649" customFormat="1" customHeight="1" ht="0">
      <c r="A53" s="1382" t="s">
        <v>260</v>
      </c>
      <c r="B53" s="1382" t="s">
        <v>261</v>
      </c>
      <c r="C53" s="1382" t="s">
        <v>262</v>
      </c>
      <c r="D53" s="1382" t="s">
        <v>263</v>
      </c>
      <c r="E53" s="2297"/>
      <c r="F53" s="2297"/>
      <c r="G53" s="2297"/>
      <c r="H53" s="2318"/>
      <c r="I53" s="2134" t="str">
        <f>U52&amp;".1"</f>
        <v>....1</v>
      </c>
      <c r="J53" s="1382"/>
      <c r="K53" s="1382"/>
      <c r="L53" s="1382"/>
      <c r="M53" s="1388" t="s">
        <v>566</v>
      </c>
      <c r="N53" s="1253"/>
      <c r="O53" s="1253"/>
      <c r="P53" s="1253"/>
      <c r="Q53" s="2264">
        <v>1</v>
      </c>
      <c r="R53" s="1338"/>
      <c r="S53" s="1338"/>
      <c r="T53" s="363"/>
      <c r="U53" s="1049"/>
      <c r="V53" s="1390"/>
      <c r="W53" s="1391"/>
      <c r="X53" s="2303"/>
      <c r="Y53" s="2304"/>
      <c r="Z53" s="2304"/>
      <c r="AA53" s="2304"/>
      <c r="AB53" s="2304"/>
      <c r="AC53" s="2304"/>
      <c r="AD53" s="2304"/>
      <c r="AE53" s="2304"/>
      <c r="AF53" s="2305"/>
      <c r="AG53" s="2303"/>
      <c r="AH53" s="2304"/>
      <c r="AI53" s="2304"/>
      <c r="AJ53" s="2304"/>
      <c r="AK53" s="2304"/>
      <c r="AL53" s="2304"/>
      <c r="AM53" s="2304"/>
      <c r="AN53" s="2304"/>
      <c r="AO53" s="2304"/>
      <c r="AP53" s="2305"/>
      <c r="AQ53" s="1392"/>
      <c r="AS53" s="507"/>
      <c r="AT53" s="507" t="str">
        <f>IF(V53="","",V53)</f>
        <v/>
      </c>
      <c r="AU53" s="507"/>
      <c r="AV53" s="507"/>
      <c r="AW53" s="518">
        <v>0</v>
      </c>
    </row>
    <row customHeight="1" ht="22.049999999999997">
      <c r="A54" s="1274" t="s">
        <v>260</v>
      </c>
      <c r="B54" s="1274" t="s">
        <v>261</v>
      </c>
      <c r="C54" s="1274" t="s">
        <v>262</v>
      </c>
      <c r="D54" s="1274" t="s">
        <v>263</v>
      </c>
      <c r="E54" s="2297"/>
      <c r="F54" s="2297"/>
      <c r="G54" s="2297"/>
      <c r="H54" s="2318"/>
      <c r="I54" s="2108"/>
      <c r="J54" s="2134" t="str">
        <f>I53&amp;".1"</f>
        <v>....1.1</v>
      </c>
      <c r="K54" s="1274"/>
      <c r="L54" s="1274"/>
      <c r="M54" s="1317" t="s">
        <v>569</v>
      </c>
      <c r="Q54" s="2264"/>
      <c r="R54" s="2264">
        <v>1</v>
      </c>
      <c r="S54" s="525"/>
      <c r="T54" s="364"/>
      <c r="U54" s="1343" t="str">
        <f>$J54</f>
        <v>....1.1</v>
      </c>
      <c r="V54" s="293" t="s">
        <v>570</v>
      </c>
      <c r="W54" s="307"/>
      <c r="X54" s="2252"/>
      <c r="Y54" s="2253"/>
      <c r="Z54" s="2253"/>
      <c r="AA54" s="2253"/>
      <c r="AB54" s="2253"/>
      <c r="AC54" s="2242"/>
      <c r="AD54" s="2242"/>
      <c r="AE54" s="2242"/>
      <c r="AF54" s="2315"/>
      <c r="AG54" s="2252"/>
      <c r="AH54" s="2253"/>
      <c r="AI54" s="2253"/>
      <c r="AJ54" s="2253"/>
      <c r="AK54" s="2253"/>
      <c r="AL54" s="2253"/>
      <c r="AM54" s="2253"/>
      <c r="AN54" s="2253"/>
      <c r="AO54" s="2253"/>
      <c r="AP54" s="2254"/>
      <c r="AQ54" s="1265" t="s">
        <v>571</v>
      </c>
      <c r="AS54" s="507"/>
      <c r="AT54" s="507" t="str">
        <f>IF(V54="","",V54)</f>
        <v>Группа потребителей</v>
      </c>
      <c r="AU54" s="507"/>
      <c r="AV54" s="507"/>
      <c r="AW54" s="1162">
        <v>21</v>
      </c>
    </row>
    <row customHeight="1" ht="22.049999999999997">
      <c r="A55" s="1274" t="s">
        <v>260</v>
      </c>
      <c r="B55" s="1274" t="s">
        <v>261</v>
      </c>
      <c r="C55" s="1274" t="s">
        <v>262</v>
      </c>
      <c r="D55" s="1274" t="s">
        <v>263</v>
      </c>
      <c r="E55" s="2297"/>
      <c r="F55" s="2297"/>
      <c r="G55" s="2297"/>
      <c r="H55" s="2318"/>
      <c r="I55" s="2108"/>
      <c r="J55" s="2108"/>
      <c r="K55" s="2134" t="str">
        <f>J54&amp;".1"</f>
        <v>....1.1.1</v>
      </c>
      <c r="L55" s="146"/>
      <c r="M55" s="1317" t="s">
        <v>572</v>
      </c>
      <c r="Q55" s="2264"/>
      <c r="R55" s="2264"/>
      <c r="S55" s="525">
        <v>1</v>
      </c>
      <c r="T55" s="364"/>
      <c r="U55" s="1343" t="str">
        <f>$K55</f>
        <v>....1.1.1</v>
      </c>
      <c r="V55" s="1354"/>
      <c r="W55" s="307"/>
      <c r="X55" s="758"/>
      <c r="Y55" s="758"/>
      <c r="Z55" s="758"/>
      <c r="AA55" s="758"/>
      <c r="AB55" s="1412"/>
      <c r="AC55" s="2272"/>
      <c r="AD55" s="2114" t="s">
        <v>66</v>
      </c>
      <c r="AE55" s="2272"/>
      <c r="AF55" s="2114" t="s">
        <v>66</v>
      </c>
      <c r="AG55" s="1414"/>
      <c r="AH55" s="758"/>
      <c r="AI55" s="758"/>
      <c r="AJ55" s="758"/>
      <c r="AK55" s="1264"/>
      <c r="AL55" s="2272"/>
      <c r="AM55" s="2114" t="s">
        <v>66</v>
      </c>
      <c r="AN55" s="2272"/>
      <c r="AO55" s="2114" t="s">
        <v>66</v>
      </c>
      <c r="AP55" s="1355"/>
      <c r="AQ55" s="1314" t="s">
        <v>612</v>
      </c>
      <c r="AR55" s="518">
        <f>STRCHECKDATE(X57:AP57)</f>
      </c>
      <c r="AS55" s="507"/>
      <c r="AT55" s="507" t="str">
        <f>IF(V55="","",V55)</f>
        <v/>
      </c>
      <c r="AU55" s="507"/>
      <c r="AV55" s="507"/>
      <c r="AW55" s="1162">
        <v>21</v>
      </c>
    </row>
    <row customHeight="1" ht="11.549999999999999">
      <c r="A56" s="1274" t="s">
        <v>260</v>
      </c>
      <c r="B56" s="1274" t="s">
        <v>261</v>
      </c>
      <c r="C56" s="1274" t="s">
        <v>262</v>
      </c>
      <c r="D56" s="1274" t="s">
        <v>263</v>
      </c>
      <c r="E56" s="2297"/>
      <c r="F56" s="2297"/>
      <c r="G56" s="2297"/>
      <c r="H56" s="2318"/>
      <c r="I56" s="2108"/>
      <c r="J56" s="2108"/>
      <c r="K56" s="2108"/>
      <c r="L56" s="2134" t="str">
        <f>K55&amp;".1"</f>
        <v>....1.1.1.1</v>
      </c>
      <c r="M56" s="1317"/>
      <c r="Q56" s="2264"/>
      <c r="R56" s="2264"/>
      <c r="S56" s="525">
        <v>1</v>
      </c>
      <c r="T56" s="364"/>
      <c r="U56" s="1343" t="str">
        <f>$L56</f>
        <v>....1.1.1.1</v>
      </c>
      <c r="V56" s="1398"/>
      <c r="W56" s="307"/>
      <c r="X56" s="332"/>
      <c r="Y56" s="758"/>
      <c r="Z56" s="758"/>
      <c r="AA56" s="758"/>
      <c r="AB56" s="1412"/>
      <c r="AC56" s="2316"/>
      <c r="AD56" s="2114"/>
      <c r="AE56" s="2316"/>
      <c r="AF56" s="2114"/>
      <c r="AG56" s="1414"/>
      <c r="AH56" s="758"/>
      <c r="AI56" s="758"/>
      <c r="AJ56" s="758"/>
      <c r="AK56" s="1264"/>
      <c r="AL56" s="2316"/>
      <c r="AM56" s="2114"/>
      <c r="AN56" s="2316"/>
      <c r="AO56" s="2114"/>
      <c r="AP56" s="1355"/>
      <c r="AQ56" s="2260" t="s">
        <v>613</v>
      </c>
      <c r="AR56" s="518">
        <f>STRCHECKDATE(X58:AP58)</f>
      </c>
      <c r="AS56" s="507"/>
      <c r="AT56" s="507" t="str">
        <f>IF(V56="","",V56)</f>
        <v/>
      </c>
      <c r="AU56" s="507"/>
      <c r="AV56" s="507"/>
      <c r="AW56" s="1162">
        <v>11</v>
      </c>
    </row>
    <row customHeight="1" ht="0">
      <c r="A57" s="1274" t="s">
        <v>260</v>
      </c>
      <c r="B57" s="1274" t="s">
        <v>261</v>
      </c>
      <c r="C57" s="1274" t="s">
        <v>262</v>
      </c>
      <c r="D57" s="1274" t="s">
        <v>263</v>
      </c>
      <c r="E57" s="2297"/>
      <c r="F57" s="2297"/>
      <c r="G57" s="2297"/>
      <c r="H57" s="2318"/>
      <c r="I57" s="2108"/>
      <c r="J57" s="2108"/>
      <c r="K57" s="2108"/>
      <c r="L57" s="2134"/>
      <c r="M57" s="1317"/>
      <c r="Q57" s="2264"/>
      <c r="R57" s="2264"/>
      <c r="S57" s="525"/>
      <c r="T57" s="364"/>
      <c r="U57" s="1349"/>
      <c r="V57" s="307"/>
      <c r="W57" s="307"/>
      <c r="X57" s="332"/>
      <c r="Y57" s="332"/>
      <c r="Z57" s="332"/>
      <c r="AA57" s="332"/>
      <c r="AB57" s="1413" t="str">
        <f>AC55&amp;"-"&amp;AE55</f>
        <v>-</v>
      </c>
      <c r="AC57" s="2316"/>
      <c r="AD57" s="2114"/>
      <c r="AE57" s="2316"/>
      <c r="AF57" s="2114"/>
      <c r="AG57" s="1389"/>
      <c r="AH57" s="332"/>
      <c r="AI57" s="332"/>
      <c r="AJ57" s="332"/>
      <c r="AK57" s="335" t="str">
        <f>AL55&amp;"-"&amp;AN55</f>
        <v>-</v>
      </c>
      <c r="AL57" s="2316"/>
      <c r="AM57" s="2114"/>
      <c r="AN57" s="2316"/>
      <c r="AO57" s="2114"/>
      <c r="AP57" s="1356"/>
      <c r="AQ57" s="2261"/>
      <c r="AS57" s="507"/>
      <c r="AT57" s="507" t="str">
        <f>IF(V57="","",V57)</f>
        <v/>
      </c>
      <c r="AU57" s="507"/>
      <c r="AV57" s="507"/>
      <c r="AW57" s="1162">
        <v>0</v>
      </c>
    </row>
    <row customHeight="1" ht="11.549999999999999">
      <c r="A58" s="1274" t="s">
        <v>260</v>
      </c>
      <c r="B58" s="1274" t="s">
        <v>261</v>
      </c>
      <c r="C58" s="1274" t="s">
        <v>262</v>
      </c>
      <c r="D58" s="1274" t="s">
        <v>263</v>
      </c>
      <c r="E58" s="2297"/>
      <c r="F58" s="2297"/>
      <c r="G58" s="2297"/>
      <c r="H58" s="2318"/>
      <c r="I58" s="2108"/>
      <c r="J58" s="2108"/>
      <c r="K58" s="2134"/>
      <c r="L58" s="1274"/>
      <c r="M58" s="1317"/>
      <c r="Q58" s="2264"/>
      <c r="R58" s="2264"/>
      <c r="S58" s="1338"/>
      <c r="T58" s="363"/>
      <c r="U58" s="1285"/>
      <c r="V58" s="295" t="s">
        <v>614</v>
      </c>
      <c r="W58" s="374"/>
      <c r="X58" s="374"/>
      <c r="Y58" s="374"/>
      <c r="Z58" s="374"/>
      <c r="AA58" s="374"/>
      <c r="AB58" s="374"/>
      <c r="AC58" s="2316"/>
      <c r="AD58" s="2114"/>
      <c r="AE58" s="2316"/>
      <c r="AF58" s="2114"/>
      <c r="AG58" s="374"/>
      <c r="AH58" s="374"/>
      <c r="AI58" s="374"/>
      <c r="AJ58" s="374"/>
      <c r="AK58" s="374"/>
      <c r="AL58" s="2316"/>
      <c r="AM58" s="2114"/>
      <c r="AN58" s="2316"/>
      <c r="AO58" s="2114"/>
      <c r="AP58" s="331"/>
      <c r="AQ58" s="2261"/>
      <c r="AS58" s="507"/>
      <c r="AT58" s="507" t="str">
        <f>IF(V58="","",V58)</f>
        <v>Добавить наименование поставщика</v>
      </c>
      <c r="AU58" s="507"/>
      <c r="AV58" s="507"/>
      <c r="AW58" s="1162">
        <v>11</v>
      </c>
    </row>
    <row customHeight="1" ht="11.549999999999999">
      <c r="A59" s="1274" t="s">
        <v>260</v>
      </c>
      <c r="B59" s="1274" t="s">
        <v>261</v>
      </c>
      <c r="C59" s="1274" t="s">
        <v>262</v>
      </c>
      <c r="D59" s="1274" t="s">
        <v>263</v>
      </c>
      <c r="E59" s="2297"/>
      <c r="F59" s="2297"/>
      <c r="G59" s="2297"/>
      <c r="H59" s="2318"/>
      <c r="I59" s="2108"/>
      <c r="J59" s="2134"/>
      <c r="K59" s="1274"/>
      <c r="L59" s="1274"/>
      <c r="M59" s="1317"/>
      <c r="Q59" s="2264"/>
      <c r="R59" s="2264"/>
      <c r="S59" s="1338"/>
      <c r="T59" s="363"/>
      <c r="U59" s="1285"/>
      <c r="V59" s="294" t="s">
        <v>574</v>
      </c>
      <c r="W59" s="374"/>
      <c r="X59" s="374"/>
      <c r="Y59" s="374"/>
      <c r="Z59" s="374"/>
      <c r="AA59" s="374"/>
      <c r="AB59" s="374"/>
      <c r="AC59" s="1415"/>
      <c r="AD59" s="1415"/>
      <c r="AE59" s="1415"/>
      <c r="AF59" s="1415"/>
      <c r="AG59" s="374"/>
      <c r="AH59" s="374"/>
      <c r="AI59" s="374"/>
      <c r="AJ59" s="374"/>
      <c r="AK59" s="374"/>
      <c r="AL59" s="374"/>
      <c r="AM59" s="374"/>
      <c r="AN59" s="374"/>
      <c r="AO59" s="374"/>
      <c r="AP59" s="331"/>
      <c r="AQ59" s="2262"/>
      <c r="AS59" s="507"/>
      <c r="AT59" s="507" t="str">
        <f>IF(V59="","",V59)</f>
        <v>Добавить вид теплоносителя (параметры теплоносителя)</v>
      </c>
      <c r="AU59" s="507"/>
      <c r="AV59" s="507"/>
      <c r="AW59" s="1162">
        <v>11</v>
      </c>
    </row>
    <row customHeight="1" ht="11.549999999999999">
      <c r="A60" s="1274" t="s">
        <v>260</v>
      </c>
      <c r="B60" s="1274" t="s">
        <v>261</v>
      </c>
      <c r="C60" s="1274" t="s">
        <v>262</v>
      </c>
      <c r="D60" s="1274" t="s">
        <v>263</v>
      </c>
      <c r="E60" s="2297"/>
      <c r="F60" s="2297"/>
      <c r="G60" s="2297"/>
      <c r="H60" s="2318"/>
      <c r="I60" s="2134"/>
      <c r="J60" s="1274"/>
      <c r="K60" s="1274"/>
      <c r="L60" s="1274"/>
      <c r="M60" s="1317"/>
      <c r="Q60" s="2264"/>
      <c r="R60" s="1338"/>
      <c r="S60" s="1338"/>
      <c r="T60" s="363"/>
      <c r="U60" s="1285"/>
      <c r="V60" s="372" t="s">
        <v>575</v>
      </c>
      <c r="W60" s="374"/>
      <c r="X60" s="374"/>
      <c r="Y60" s="374"/>
      <c r="Z60" s="374"/>
      <c r="AA60" s="374"/>
      <c r="AB60" s="374"/>
      <c r="AC60" s="374"/>
      <c r="AD60" s="374"/>
      <c r="AE60" s="374"/>
      <c r="AF60" s="373"/>
      <c r="AG60" s="374"/>
      <c r="AH60" s="374"/>
      <c r="AI60" s="374"/>
      <c r="AJ60" s="374"/>
      <c r="AK60" s="374"/>
      <c r="AL60" s="374"/>
      <c r="AM60" s="374"/>
      <c r="AN60" s="374"/>
      <c r="AO60" s="373"/>
      <c r="AP60" s="374"/>
      <c r="AQ60" s="310"/>
      <c r="AS60" s="507"/>
      <c r="AT60" s="507" t="str">
        <f>IF(V60="","",V60)</f>
        <v>Добавить группу потребителей</v>
      </c>
      <c r="AU60" s="507"/>
      <c r="AV60" s="507"/>
      <c r="AW60" s="1162">
        <v>11</v>
      </c>
    </row>
    <row customHeight="1" ht="0">
      <c r="A61" s="1274" t="s">
        <v>260</v>
      </c>
      <c r="B61" s="1274" t="s">
        <v>261</v>
      </c>
      <c r="C61" s="1274" t="s">
        <v>262</v>
      </c>
      <c r="D61" s="1274" t="s">
        <v>263</v>
      </c>
      <c r="E61" s="2297"/>
      <c r="F61" s="2297"/>
      <c r="G61" s="2297"/>
      <c r="H61" s="2317"/>
      <c r="I61" s="1274"/>
      <c r="J61" s="1274"/>
      <c r="K61" s="1274"/>
      <c r="L61" s="1274"/>
      <c r="M61" s="1317"/>
      <c r="N61" s="695"/>
      <c r="O61" s="695"/>
      <c r="P61" s="516"/>
      <c r="Q61" s="367"/>
      <c r="R61" s="382"/>
      <c r="S61" s="362"/>
      <c r="T61" s="367"/>
      <c r="U61" s="1393"/>
      <c r="V61" s="1394"/>
      <c r="W61" s="1395"/>
      <c r="X61" s="1395"/>
      <c r="Y61" s="1395"/>
      <c r="Z61" s="1395"/>
      <c r="AA61" s="1395"/>
      <c r="AB61" s="1395"/>
      <c r="AC61" s="1395"/>
      <c r="AD61" s="1395"/>
      <c r="AE61" s="1395"/>
      <c r="AF61" s="1395"/>
      <c r="AG61" s="1395"/>
      <c r="AH61" s="1395"/>
      <c r="AI61" s="1395"/>
      <c r="AJ61" s="1395"/>
      <c r="AK61" s="1395"/>
      <c r="AL61" s="1395"/>
      <c r="AM61" s="1395"/>
      <c r="AN61" s="1395"/>
      <c r="AO61" s="1395"/>
      <c r="AP61" s="1395"/>
      <c r="AQ61" s="1396"/>
      <c r="AS61" s="507"/>
      <c r="AT61" s="507" t="str">
        <f>IF(V61="","",V61)</f>
        <v/>
      </c>
      <c r="AU61" s="507"/>
      <c r="AV61" s="507"/>
      <c r="AW61" s="1162">
        <v>0</v>
      </c>
    </row>
    <row s="1649" customFormat="1" customHeight="1" ht="0">
      <c r="A62" s="1382" t="s">
        <v>260</v>
      </c>
      <c r="B62" s="1382" t="s">
        <v>261</v>
      </c>
      <c r="C62" s="1382" t="s">
        <v>262</v>
      </c>
      <c r="D62" s="1381"/>
      <c r="E62" s="2297"/>
      <c r="F62" s="2297"/>
      <c r="G62" s="2296"/>
      <c r="H62" s="1381"/>
      <c r="I62" s="1381"/>
      <c r="J62" s="1381"/>
      <c r="K62" s="1381"/>
      <c r="L62" s="1381"/>
      <c r="M62" s="1384"/>
      <c r="N62" s="1385"/>
      <c r="O62" s="1385"/>
      <c r="P62" s="358"/>
      <c r="Q62" s="1323"/>
      <c r="R62" s="1324"/>
      <c r="S62" s="1323"/>
      <c r="T62" s="1323"/>
      <c r="U62" s="1329"/>
      <c r="V62" s="1332" t="s">
        <v>577</v>
      </c>
      <c r="W62" s="1331"/>
      <c r="X62" s="1331"/>
      <c r="Y62" s="1331"/>
      <c r="Z62" s="1331"/>
      <c r="AA62" s="1331"/>
      <c r="AB62" s="1331"/>
      <c r="AC62" s="1331"/>
      <c r="AD62" s="1331"/>
      <c r="AE62" s="1331"/>
      <c r="AF62" s="1331"/>
      <c r="AG62" s="1331"/>
      <c r="AH62" s="1331"/>
      <c r="AI62" s="1331"/>
      <c r="AJ62" s="1331"/>
      <c r="AK62" s="1331"/>
      <c r="AL62" s="1331"/>
      <c r="AM62" s="1331"/>
      <c r="AN62" s="1331"/>
      <c r="AO62" s="1331"/>
      <c r="AP62" s="1331"/>
      <c r="AQ62" s="1331"/>
      <c r="AS62" s="796"/>
      <c r="AT62" s="796" t="str">
        <f>IF(V62="","",V62)</f>
        <v>Добавить источник для дифференциации</v>
      </c>
      <c r="AU62" s="796"/>
      <c r="AV62" s="796"/>
      <c r="AW62" s="525">
        <v>0</v>
      </c>
    </row>
    <row s="1649" customFormat="1" customHeight="1" ht="0">
      <c r="A63" s="1382" t="s">
        <v>260</v>
      </c>
      <c r="B63" s="1382" t="s">
        <v>261</v>
      </c>
      <c r="C63" s="1381"/>
      <c r="D63" s="1381"/>
      <c r="E63" s="2297"/>
      <c r="F63" s="2296"/>
      <c r="G63" s="1381"/>
      <c r="H63" s="1381"/>
      <c r="I63" s="1381"/>
      <c r="J63" s="1381"/>
      <c r="K63" s="1381"/>
      <c r="L63" s="1381"/>
      <c r="M63" s="1384"/>
      <c r="N63" s="1386"/>
      <c r="O63" s="1386"/>
      <c r="P63" s="358"/>
      <c r="Q63" s="1323"/>
      <c r="R63" s="1324"/>
      <c r="S63" s="1323"/>
      <c r="T63" s="1323"/>
      <c r="U63" s="1329"/>
      <c r="V63" s="1332" t="s">
        <v>316</v>
      </c>
      <c r="W63" s="1331"/>
      <c r="X63" s="1331"/>
      <c r="Y63" s="1331"/>
      <c r="Z63" s="1331"/>
      <c r="AA63" s="1331"/>
      <c r="AB63" s="1331"/>
      <c r="AC63" s="1331"/>
      <c r="AD63" s="1331"/>
      <c r="AE63" s="1331"/>
      <c r="AF63" s="1331"/>
      <c r="AG63" s="1331"/>
      <c r="AH63" s="1331"/>
      <c r="AI63" s="1331"/>
      <c r="AJ63" s="1331"/>
      <c r="AK63" s="1331"/>
      <c r="AL63" s="1331"/>
      <c r="AM63" s="1331"/>
      <c r="AN63" s="1331"/>
      <c r="AO63" s="1331"/>
      <c r="AP63" s="1331"/>
      <c r="AQ63" s="1331"/>
      <c r="AS63" s="796"/>
      <c r="AT63" s="796" t="str">
        <f>IF(V63="","",V63)</f>
        <v>Добавить централизованную систему для дифференциации</v>
      </c>
      <c r="AU63" s="796"/>
      <c r="AV63" s="796"/>
      <c r="AW63" s="525">
        <v>0</v>
      </c>
    </row>
    <row s="1649" customFormat="1" customHeight="1" ht="0">
      <c r="A64" s="1382" t="s">
        <v>260</v>
      </c>
      <c r="B64" s="1382"/>
      <c r="C64" s="1382"/>
      <c r="D64" s="1382"/>
      <c r="E64" s="2296"/>
      <c r="F64" s="1382"/>
      <c r="G64" s="1382"/>
      <c r="H64" s="1382"/>
      <c r="I64" s="1382"/>
      <c r="J64" s="1382"/>
      <c r="K64" s="1382"/>
      <c r="L64" s="1382"/>
      <c r="M64" s="1388"/>
      <c r="N64" s="1386"/>
      <c r="O64" s="1386"/>
      <c r="P64" s="358"/>
      <c r="Q64" s="387"/>
      <c r="R64" s="1351"/>
      <c r="S64" s="387"/>
      <c r="T64" s="387"/>
      <c r="U64" s="1329"/>
      <c r="V64" s="1332" t="s">
        <v>390</v>
      </c>
      <c r="W64" s="1331"/>
      <c r="X64" s="1331"/>
      <c r="Y64" s="1331"/>
      <c r="Z64" s="1331"/>
      <c r="AA64" s="1331"/>
      <c r="AB64" s="1331"/>
      <c r="AC64" s="1331"/>
      <c r="AD64" s="1331"/>
      <c r="AE64" s="1331"/>
      <c r="AF64" s="1331"/>
      <c r="AG64" s="1331"/>
      <c r="AH64" s="1331"/>
      <c r="AI64" s="1331"/>
      <c r="AJ64" s="1331"/>
      <c r="AK64" s="1331"/>
      <c r="AL64" s="1331"/>
      <c r="AM64" s="1331"/>
      <c r="AN64" s="1331"/>
      <c r="AO64" s="1331"/>
      <c r="AP64" s="1331"/>
      <c r="AQ64" s="1331"/>
      <c r="AS64" s="507"/>
      <c r="AT64" s="507" t="str">
        <f>IF(V64="","",V64)</f>
        <v>Добавить территорию для дифференциации</v>
      </c>
      <c r="AU64" s="507"/>
      <c r="AV64" s="507"/>
      <c r="AW64" s="518">
        <v>0</v>
      </c>
    </row>
    <row s="1649" customFormat="1" customHeight="1" ht="4.2">
      <c r="A65" s="1381"/>
      <c r="B65" s="1381"/>
      <c r="C65" s="1381"/>
      <c r="D65" s="1381"/>
      <c r="E65" s="1382"/>
      <c r="F65" s="1381"/>
      <c r="G65" s="1381"/>
      <c r="H65" s="1381"/>
      <c r="I65" s="1381"/>
      <c r="J65" s="1381"/>
      <c r="K65" s="1381"/>
      <c r="L65" s="1381"/>
      <c r="M65" s="1384"/>
      <c r="N65" s="1386"/>
      <c r="O65" s="1386"/>
      <c r="P65" s="358"/>
      <c r="Q65" s="1323"/>
      <c r="R65" s="1324"/>
      <c r="S65" s="1323"/>
      <c r="T65" s="1323"/>
      <c r="U65" s="1329"/>
      <c r="V65" s="1332" t="s">
        <v>391</v>
      </c>
      <c r="W65" s="1331"/>
      <c r="X65" s="1331"/>
      <c r="Y65" s="1331"/>
      <c r="Z65" s="1331"/>
      <c r="AA65" s="1331"/>
      <c r="AB65" s="1331"/>
      <c r="AC65" s="1331"/>
      <c r="AD65" s="1331"/>
      <c r="AE65" s="1331"/>
      <c r="AF65" s="1331"/>
      <c r="AG65" s="1331"/>
      <c r="AH65" s="1331"/>
      <c r="AI65" s="1331"/>
      <c r="AJ65" s="1331"/>
      <c r="AK65" s="1331"/>
      <c r="AL65" s="1331"/>
      <c r="AM65" s="1331"/>
      <c r="AN65" s="1331"/>
      <c r="AO65" s="1331"/>
      <c r="AP65" s="1331"/>
      <c r="AQ65" s="1331"/>
      <c r="AS65" s="796"/>
      <c r="AT65" s="796" t="str">
        <f>IF(V65="","",V65)</f>
        <v>Добавить наименование тарифа</v>
      </c>
      <c r="AU65" s="796"/>
      <c r="AV65" s="796"/>
      <c r="AW65" s="525">
        <v>4</v>
      </c>
    </row>
    <row customHeight="1" ht="11.549999999999999">
      <c r="N66" s="1162"/>
      <c r="O66" s="1162"/>
      <c r="P66" s="516"/>
      <c r="Q66" s="1162"/>
      <c r="R66" s="1162"/>
      <c r="S66" s="1162"/>
      <c r="T66" s="1162"/>
      <c r="U66" s="1162"/>
      <c r="AR66" s="1162"/>
      <c r="AS66" s="1162"/>
      <c r="AT66" s="1162"/>
      <c r="AU66" s="1162"/>
      <c r="AV66" s="1162"/>
      <c r="AW66" s="1162">
        <v>11</v>
      </c>
    </row>
    <row customHeight="1" ht="35.699999999999996">
      <c r="P67" s="516"/>
      <c r="U67" s="1260"/>
      <c r="V67" s="2292"/>
      <c r="W67" s="2292"/>
      <c r="X67" s="2292"/>
      <c r="Y67" s="2292"/>
      <c r="Z67" s="2292"/>
      <c r="AA67" s="2292"/>
      <c r="AB67" s="2292"/>
      <c r="AC67" s="2292"/>
      <c r="AD67" s="2292"/>
      <c r="AE67" s="2292"/>
      <c r="AF67" s="2292"/>
      <c r="AG67" s="2292"/>
      <c r="AH67" s="2292"/>
      <c r="AI67" s="2292"/>
      <c r="AJ67" s="2292"/>
      <c r="AK67" s="2292"/>
      <c r="AL67" s="2292"/>
      <c r="AM67" s="2292"/>
      <c r="AN67" s="2292"/>
      <c r="AO67" s="2292"/>
      <c r="AP67" s="2292"/>
      <c r="AQ67" s="2292"/>
      <c r="AW67" s="1162">
        <v>34</v>
      </c>
    </row>
    <row customHeight="1" ht="21">
      <c r="P68" s="516"/>
      <c r="V68" s="2292"/>
      <c r="W68" s="2292"/>
      <c r="X68" s="2292"/>
      <c r="Y68" s="2292"/>
      <c r="Z68" s="2292"/>
      <c r="AA68" s="2292"/>
      <c r="AB68" s="2292"/>
      <c r="AC68" s="2292"/>
      <c r="AD68" s="2292"/>
      <c r="AE68" s="2292"/>
      <c r="AF68" s="2292"/>
      <c r="AG68" s="2292"/>
      <c r="AH68" s="2292"/>
      <c r="AI68" s="2292"/>
      <c r="AJ68" s="2292"/>
      <c r="AK68" s="2292"/>
      <c r="AL68" s="2292"/>
      <c r="AM68" s="2292"/>
      <c r="AN68" s="2292"/>
      <c r="AO68" s="2292"/>
      <c r="AP68" s="2292"/>
      <c r="AQ68" s="2292"/>
      <c r="AW68" s="1162">
        <v>20</v>
      </c>
    </row>
    <row customHeight="1" ht="14.699999999999998">
      <c r="P69" s="516"/>
      <c r="AW69" s="1162">
        <v>14</v>
      </c>
    </row>
    <row customHeight="1" ht="28.5">
      <c r="P70" s="516"/>
      <c r="V70" s="2292"/>
      <c r="W70" s="2292"/>
      <c r="X70" s="2292"/>
      <c r="Y70" s="2292"/>
      <c r="Z70" s="2292"/>
      <c r="AA70" s="2292"/>
      <c r="AB70" s="2292"/>
      <c r="AC70" s="2292"/>
      <c r="AD70" s="2292"/>
      <c r="AE70" s="2292"/>
      <c r="AF70" s="2292"/>
      <c r="AG70" s="2292"/>
      <c r="AH70" s="2292"/>
      <c r="AI70" s="2292"/>
      <c r="AJ70" s="2292"/>
      <c r="AK70" s="2292"/>
      <c r="AL70" s="2292"/>
      <c r="AM70" s="2292"/>
      <c r="AN70" s="2292"/>
      <c r="AO70" s="2292"/>
      <c r="AP70" s="2292"/>
      <c r="AQ70" s="2292"/>
      <c r="AW70" s="1162">
        <v>27</v>
      </c>
    </row>
    <row customHeight="1" ht="18.75">
      <c r="P71" s="516"/>
      <c r="V71" s="2292"/>
      <c r="W71" s="2292"/>
      <c r="X71" s="2292"/>
      <c r="Y71" s="2292"/>
      <c r="Z71" s="2292"/>
      <c r="AA71" s="2292"/>
      <c r="AB71" s="2292"/>
      <c r="AC71" s="2292"/>
      <c r="AD71" s="2292"/>
      <c r="AE71" s="2292"/>
      <c r="AF71" s="2292"/>
      <c r="AG71" s="2292"/>
      <c r="AH71" s="2292"/>
      <c r="AI71" s="2292"/>
      <c r="AJ71" s="2292"/>
      <c r="AK71" s="2292"/>
      <c r="AL71" s="2292"/>
      <c r="AM71" s="2292"/>
      <c r="AN71" s="2292"/>
      <c r="AO71" s="2292"/>
      <c r="AP71" s="2292"/>
      <c r="AQ71" s="2292"/>
      <c r="AW71" s="1162">
        <v>18</v>
      </c>
    </row>
    <row customHeight="1" ht="22.5" hidden="1">
      <c r="A72" s="1162" t="s">
        <v>82</v>
      </c>
      <c r="B72" s="1162">
        <v>0</v>
      </c>
      <c r="C72" s="1162">
        <v>0</v>
      </c>
      <c r="D72" s="1162">
        <v>0</v>
      </c>
      <c r="E72" s="1162">
        <v>0</v>
      </c>
      <c r="F72" s="1162">
        <v>0</v>
      </c>
      <c r="G72" s="1162">
        <v>0</v>
      </c>
      <c r="H72" s="1162">
        <v>0</v>
      </c>
      <c r="I72" s="1162">
        <v>0</v>
      </c>
      <c r="J72" s="1162">
        <v>0</v>
      </c>
      <c r="K72" s="1162">
        <v>0</v>
      </c>
      <c r="L72" s="1162">
        <v>0</v>
      </c>
      <c r="M72" s="1334">
        <v>0</v>
      </c>
      <c r="N72" s="1335">
        <v>0</v>
      </c>
      <c r="O72" s="1335">
        <v>0</v>
      </c>
      <c r="P72" s="1335">
        <v>0</v>
      </c>
      <c r="Q72" s="1335">
        <v>0</v>
      </c>
      <c r="R72" s="351">
        <v>3</v>
      </c>
      <c r="S72" s="351">
        <v>3</v>
      </c>
      <c r="T72" s="351">
        <v>3</v>
      </c>
      <c r="U72" s="588">
        <v>12</v>
      </c>
      <c r="V72" s="1162">
        <v>31</v>
      </c>
      <c r="W72" s="1162">
        <v>0</v>
      </c>
      <c r="X72" s="1162">
        <v>0</v>
      </c>
      <c r="Y72" s="1162">
        <v>0</v>
      </c>
      <c r="Z72" s="1162">
        <v>0</v>
      </c>
      <c r="AA72" s="1162">
        <v>0</v>
      </c>
      <c r="AB72" s="1162">
        <v>0</v>
      </c>
      <c r="AC72" s="1162">
        <v>0</v>
      </c>
      <c r="AD72" s="1162">
        <v>0</v>
      </c>
      <c r="AE72" s="1162">
        <v>0</v>
      </c>
      <c r="AF72" s="1162">
        <v>0</v>
      </c>
      <c r="AG72" s="1162">
        <v>21</v>
      </c>
      <c r="AH72" s="1162">
        <v>21</v>
      </c>
      <c r="AI72" s="1162">
        <v>21</v>
      </c>
      <c r="AJ72" s="1162">
        <v>21</v>
      </c>
      <c r="AK72" s="1162">
        <v>21</v>
      </c>
      <c r="AL72" s="1162">
        <v>11</v>
      </c>
      <c r="AM72" s="1162">
        <v>3</v>
      </c>
      <c r="AN72" s="1162">
        <v>11</v>
      </c>
      <c r="AO72" s="1162">
        <v>8</v>
      </c>
      <c r="AP72" s="1162">
        <v>4</v>
      </c>
      <c r="AQ72" s="1162">
        <v>115</v>
      </c>
      <c r="AR72" s="518">
        <v>10</v>
      </c>
      <c r="AS72" s="518">
        <v>10</v>
      </c>
      <c r="AT72" s="518">
        <v>10</v>
      </c>
      <c r="AU72" s="518">
        <v>10</v>
      </c>
      <c r="AV72" s="518">
        <v>10</v>
      </c>
      <c r="AW72" s="1162">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769813-11CC-878C-FF4A-4BD54441827F}"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1783" width="3.00390625" customWidth="1"/>
    <col min="17" max="17" style="1378" width="3.00390625" customWidth="1"/>
    <col min="18" max="18" style="351" width="3.00390625" customWidth="1"/>
    <col min="19" max="19" style="2414" width="12.00390625" customWidth="1"/>
    <col min="20" max="20" style="1642" width="31.00390625" customWidth="1"/>
    <col min="21" max="21" style="1642" width="0.140625" customWidth="1"/>
    <col min="22" max="23" style="1642" width="21.7109375" hidden="1" customWidth="1"/>
    <col min="24" max="24" style="1642" width="11.7109375" hidden="1" customWidth="1"/>
    <col min="25" max="25" style="1642" width="3.7109375" hidden="1" customWidth="1"/>
    <col min="26" max="26" style="1642" width="11.7109375" hidden="1" customWidth="1"/>
    <col min="27" max="27" style="1642" width="8.57421875" hidden="1" customWidth="1"/>
    <col min="28" max="28" style="1642" width="5.421875" customWidth="1"/>
    <col min="29" max="30" style="1642" width="3.00390625" customWidth="1"/>
    <col min="31" max="31" style="1642" width="24.00390625" customWidth="1"/>
    <col min="32" max="32" style="1642" width="3.7109375" customWidth="1"/>
    <col min="33" max="34" style="1642" width="3.00390625" customWidth="1"/>
    <col min="35" max="35" style="1642" width="24.00390625" customWidth="1"/>
    <col min="36" max="36" style="1642" width="3.7109375" customWidth="1"/>
    <col min="37" max="38" style="1642" width="3.00390625" customWidth="1"/>
    <col min="39" max="39" style="1642" width="18.00390625" customWidth="1"/>
    <col min="40" max="41" style="1642" width="21.00390625" customWidth="1"/>
    <col min="42" max="42" style="1642" width="11.00390625" customWidth="1"/>
    <col min="43" max="43" style="1642" width="3.7109375" customWidth="1"/>
    <col min="44" max="44" style="1642" width="11.00390625" customWidth="1"/>
    <col min="45" max="45" style="1642" width="8.57421875" hidden="1" customWidth="1"/>
    <col min="46" max="46" style="1642" width="4.00390625" customWidth="1"/>
    <col min="47" max="47" style="1642" width="115.00390625" customWidth="1"/>
    <col min="48" max="52" style="1649" width="10.00390625" customWidth="1"/>
    <col min="53" max="53" style="1642" width="10.57421875" hidden="1"/>
  </cols>
  <sheetData>
    <row customHeight="1" ht="22.5" hidden="1">
      <c r="W1" s="334"/>
      <c r="X1" s="334"/>
      <c r="AO1" s="334"/>
      <c r="AP1" s="334"/>
      <c r="BA1" s="1162" t="s">
        <v>14</v>
      </c>
    </row>
    <row customHeight="1" ht="21" hidden="1">
      <c r="A2" s="1370"/>
      <c r="B2" s="1370"/>
      <c r="C2" s="1370"/>
      <c r="D2" s="1370"/>
      <c r="E2" s="2265">
        <v>1</v>
      </c>
      <c r="F2" s="1370"/>
      <c r="G2" s="1370"/>
      <c r="H2" s="1370"/>
      <c r="I2" s="1370"/>
      <c r="J2" s="1370"/>
      <c r="K2" s="1370"/>
      <c r="L2" s="1371"/>
      <c r="M2" s="1372"/>
      <c r="N2" s="1372"/>
      <c r="O2" s="1372"/>
      <c r="P2" s="1416"/>
      <c r="Q2" s="880"/>
      <c r="R2" s="362"/>
      <c r="S2" s="1343">
        <f>INDEX(PT_DIFFERENTIATION_NUM_NTAR,MATCH(A2,PT_DIFFERENTIATION_NTAR_ID,0))</f>
      </c>
      <c r="T2" s="305" t="s">
        <v>215</v>
      </c>
      <c r="U2" s="307"/>
      <c r="V2" s="2250"/>
      <c r="W2" s="2250"/>
      <c r="X2" s="2250"/>
      <c r="Y2" s="2250"/>
      <c r="Z2" s="2250"/>
      <c r="AA2" s="2251"/>
      <c r="AB2" s="2249">
        <f>INDEX(PT_DIFFERENTIATION_NTAR,MATCH(A2,PT_DIFFERENTIATION_NTAR_ID,0))</f>
      </c>
      <c r="AC2" s="2250"/>
      <c r="AD2" s="2250"/>
      <c r="AE2" s="2250"/>
      <c r="AF2" s="2250"/>
      <c r="AG2" s="2250"/>
      <c r="AH2" s="2250"/>
      <c r="AI2" s="2250"/>
      <c r="AJ2" s="2250"/>
      <c r="AK2" s="2250"/>
      <c r="AL2" s="2250"/>
      <c r="AM2" s="2250"/>
      <c r="AN2" s="2250"/>
      <c r="AO2" s="2250"/>
      <c r="AP2" s="2250"/>
      <c r="AQ2" s="2250"/>
      <c r="AR2" s="2250"/>
      <c r="AS2" s="2250"/>
      <c r="AT2" s="2251"/>
      <c r="AU2" s="1265" t="s">
        <v>559</v>
      </c>
      <c r="AW2" s="507"/>
      <c r="AX2" s="507" t="str">
        <f>IF(T2="","",T2)</f>
        <v>Наименование тарифа</v>
      </c>
      <c r="AY2" s="507"/>
      <c r="AZ2" s="507"/>
      <c r="BA2" s="1162">
        <v>0</v>
      </c>
    </row>
    <row customHeight="1" ht="21" hidden="1">
      <c r="A3" s="1370"/>
      <c r="B3" s="1370"/>
      <c r="C3" s="1370"/>
      <c r="D3" s="1370"/>
      <c r="E3" s="2266"/>
      <c r="F3" s="2265">
        <v>1</v>
      </c>
      <c r="G3" s="1370"/>
      <c r="H3" s="1370"/>
      <c r="I3" s="1370"/>
      <c r="J3" s="1370"/>
      <c r="K3" s="1370"/>
      <c r="L3" s="1371"/>
      <c r="M3" s="1372"/>
      <c r="N3" s="1372"/>
      <c r="O3" s="1372"/>
      <c r="P3" s="1417"/>
      <c r="Q3" s="1418"/>
      <c r="R3" s="360"/>
      <c r="S3" s="1343">
        <f>INDEX(PT_DIFFERENTIATION_NUM_TER,MATCH(B3,PT_DIFFERENTIATION_TER_ID,0))</f>
      </c>
      <c r="T3" s="315" t="s">
        <v>560</v>
      </c>
      <c r="U3" s="307"/>
      <c r="V3" s="2250"/>
      <c r="W3" s="2250"/>
      <c r="X3" s="2250"/>
      <c r="Y3" s="2250"/>
      <c r="Z3" s="2250"/>
      <c r="AA3" s="2251"/>
      <c r="AB3" s="2249">
        <f>INDEX(PT_DIFFERENTIATION_TER,MATCH(B3,PT_DIFFERENTIATION_TER_ID,0))</f>
      </c>
      <c r="AC3" s="2250"/>
      <c r="AD3" s="2250"/>
      <c r="AE3" s="2250"/>
      <c r="AF3" s="2250"/>
      <c r="AG3" s="2250"/>
      <c r="AH3" s="2250"/>
      <c r="AI3" s="2250"/>
      <c r="AJ3" s="2250"/>
      <c r="AK3" s="2250"/>
      <c r="AL3" s="2250"/>
      <c r="AM3" s="2250"/>
      <c r="AN3" s="2250"/>
      <c r="AO3" s="2250"/>
      <c r="AP3" s="2250"/>
      <c r="AQ3" s="2250"/>
      <c r="AR3" s="2250"/>
      <c r="AS3" s="2250"/>
      <c r="AT3" s="2251"/>
      <c r="AU3" s="1265" t="s">
        <v>561</v>
      </c>
      <c r="AW3" s="507"/>
      <c r="AX3" s="507" t="str">
        <f>IF(T3="","",T3)</f>
        <v>Территория действия тарифа</v>
      </c>
      <c r="AY3" s="507"/>
      <c r="AZ3" s="507"/>
      <c r="BA3" s="1162">
        <v>0</v>
      </c>
    </row>
    <row customHeight="1" ht="22.5" hidden="1">
      <c r="A4" s="1370"/>
      <c r="B4" s="1370"/>
      <c r="C4" s="1370"/>
      <c r="D4" s="1370"/>
      <c r="E4" s="2266"/>
      <c r="F4" s="2266"/>
      <c r="G4" s="2265">
        <v>1</v>
      </c>
      <c r="H4" s="1370"/>
      <c r="I4" s="1370"/>
      <c r="J4" s="1370"/>
      <c r="K4" s="1370"/>
      <c r="L4" s="1371"/>
      <c r="M4" s="1372"/>
      <c r="N4" s="1372"/>
      <c r="O4" s="1372"/>
      <c r="P4" s="1419"/>
      <c r="Q4" s="1418"/>
      <c r="R4" s="360"/>
      <c r="S4" s="1343">
        <f>INDEX(PT_DIFFERENTIATION_NUM_CS,MATCH(C4,PT_DIFFERENTIATION_CS_ID,0))</f>
      </c>
      <c r="T4" s="316" t="s">
        <v>562</v>
      </c>
      <c r="U4" s="307"/>
      <c r="V4" s="2250"/>
      <c r="W4" s="2250"/>
      <c r="X4" s="2250"/>
      <c r="Y4" s="2250"/>
      <c r="Z4" s="2250"/>
      <c r="AA4" s="2251"/>
      <c r="AB4" s="2249">
        <f>INDEX(PT_DIFFERENTIATION_CS,MATCH(C4,PT_DIFFERENTIATION_CS_ID,0))</f>
      </c>
      <c r="AC4" s="2250"/>
      <c r="AD4" s="2250"/>
      <c r="AE4" s="2250"/>
      <c r="AF4" s="2250"/>
      <c r="AG4" s="2250"/>
      <c r="AH4" s="2250"/>
      <c r="AI4" s="2250"/>
      <c r="AJ4" s="2250"/>
      <c r="AK4" s="2250"/>
      <c r="AL4" s="2250"/>
      <c r="AM4" s="2250"/>
      <c r="AN4" s="2250"/>
      <c r="AO4" s="2250"/>
      <c r="AP4" s="2250"/>
      <c r="AQ4" s="2250"/>
      <c r="AR4" s="2250"/>
      <c r="AS4" s="2250"/>
      <c r="AT4" s="2251"/>
      <c r="AU4" s="1265" t="s">
        <v>563</v>
      </c>
      <c r="AW4" s="507"/>
      <c r="AX4" s="507" t="str">
        <f>IF(T4="","",T4)</f>
        <v>Наименование системы теплоснабжения </v>
      </c>
      <c r="AY4" s="507"/>
      <c r="AZ4" s="507"/>
      <c r="BA4" s="1162">
        <v>0</v>
      </c>
    </row>
    <row customHeight="1" ht="21" hidden="1">
      <c r="A5" s="1370"/>
      <c r="B5" s="1370"/>
      <c r="C5" s="1370"/>
      <c r="D5" s="1370"/>
      <c r="E5" s="2266"/>
      <c r="F5" s="2266"/>
      <c r="G5" s="2266"/>
      <c r="H5" s="2265">
        <v>1</v>
      </c>
      <c r="I5" s="1370"/>
      <c r="J5" s="1370"/>
      <c r="K5" s="1370"/>
      <c r="L5" s="1371"/>
      <c r="M5" s="1372"/>
      <c r="N5" s="1372"/>
      <c r="O5" s="1372"/>
      <c r="P5" s="1419"/>
      <c r="Q5" s="1418"/>
      <c r="R5" s="360"/>
      <c r="S5" s="1343">
        <f>INDEX(PT_DIFFERENTIATION_NUM_IST_TE,MATCH(D5,PT_DIFFERENTIATION_IST_TE_ID,0))</f>
      </c>
      <c r="T5" s="317" t="s">
        <v>564</v>
      </c>
      <c r="U5" s="307"/>
      <c r="V5" s="2250"/>
      <c r="W5" s="2250"/>
      <c r="X5" s="2250"/>
      <c r="Y5" s="2250"/>
      <c r="Z5" s="2250"/>
      <c r="AA5" s="2251"/>
      <c r="AB5" s="2249">
        <f>INDEX(PT_DIFFERENTIATION_IST_TE,MATCH(D5,PT_DIFFERENTIATION_IST_TE_ID,0))</f>
      </c>
      <c r="AC5" s="2250"/>
      <c r="AD5" s="2250"/>
      <c r="AE5" s="2250"/>
      <c r="AF5" s="2250"/>
      <c r="AG5" s="2250"/>
      <c r="AH5" s="2250"/>
      <c r="AI5" s="2250"/>
      <c r="AJ5" s="2250"/>
      <c r="AK5" s="2250"/>
      <c r="AL5" s="2250"/>
      <c r="AM5" s="2250"/>
      <c r="AN5" s="2250"/>
      <c r="AO5" s="2250"/>
      <c r="AP5" s="2250"/>
      <c r="AQ5" s="2250"/>
      <c r="AR5" s="2250"/>
      <c r="AS5" s="2250"/>
      <c r="AT5" s="2251"/>
      <c r="AU5" s="1265" t="s">
        <v>565</v>
      </c>
      <c r="AW5" s="507"/>
      <c r="AX5" s="507" t="str">
        <f>IF(T5="","",T5)</f>
        <v>Источник тепловой энергии  </v>
      </c>
      <c r="AY5" s="507"/>
      <c r="AZ5" s="507"/>
      <c r="BA5" s="1162">
        <v>0</v>
      </c>
    </row>
    <row s="1649" customFormat="1" customHeight="1" ht="0.75" hidden="1">
      <c r="A6" s="1350"/>
      <c r="B6" s="1350"/>
      <c r="C6" s="1350"/>
      <c r="D6" s="1350"/>
      <c r="E6" s="2266"/>
      <c r="F6" s="2266"/>
      <c r="G6" s="2266"/>
      <c r="H6" s="2266"/>
      <c r="I6" s="2263">
        <f>S5&amp;".1"</f>
      </c>
      <c r="J6" s="1350"/>
      <c r="K6" s="1350"/>
      <c r="L6" s="1353" t="s">
        <v>566</v>
      </c>
      <c r="M6" s="517"/>
      <c r="N6" s="517"/>
      <c r="O6" s="517"/>
      <c r="P6" s="2264">
        <v>1</v>
      </c>
      <c r="Q6" s="1338"/>
      <c r="R6" s="363"/>
      <c r="S6" s="1049"/>
      <c r="T6" s="1390"/>
      <c r="U6" s="1391"/>
      <c r="V6" s="2304"/>
      <c r="W6" s="2304"/>
      <c r="X6" s="2304"/>
      <c r="Y6" s="2304"/>
      <c r="Z6" s="2304"/>
      <c r="AA6" s="2305"/>
      <c r="AB6" s="2303"/>
      <c r="AC6" s="2304"/>
      <c r="AD6" s="2304"/>
      <c r="AE6" s="2304"/>
      <c r="AF6" s="2304"/>
      <c r="AG6" s="2304"/>
      <c r="AH6" s="2304"/>
      <c r="AI6" s="2304"/>
      <c r="AJ6" s="2304"/>
      <c r="AK6" s="2304"/>
      <c r="AL6" s="2304"/>
      <c r="AM6" s="2304"/>
      <c r="AN6" s="2304"/>
      <c r="AO6" s="2304"/>
      <c r="AP6" s="2304"/>
      <c r="AQ6" s="2304"/>
      <c r="AR6" s="2304"/>
      <c r="AS6" s="2304"/>
      <c r="AT6" s="2305"/>
      <c r="AU6" s="1392"/>
      <c r="AW6" s="507"/>
      <c r="AX6" s="507" t="str">
        <f>IF(T6="","",T6)</f>
        <v/>
      </c>
      <c r="AY6" s="507"/>
      <c r="AZ6" s="507"/>
      <c r="BA6" s="518">
        <v>0</v>
      </c>
    </row>
    <row s="1649" customFormat="1" customHeight="1" ht="0.75" hidden="1">
      <c r="A7" s="1350"/>
      <c r="B7" s="1350"/>
      <c r="C7" s="1350"/>
      <c r="D7" s="1350"/>
      <c r="E7" s="2266"/>
      <c r="F7" s="2266"/>
      <c r="G7" s="2266"/>
      <c r="H7" s="2266"/>
      <c r="I7" s="2293"/>
      <c r="J7" s="2263">
        <f>S5&amp;".1"</f>
      </c>
      <c r="K7" s="1350"/>
      <c r="L7" s="1353"/>
      <c r="M7" s="517"/>
      <c r="N7" s="517"/>
      <c r="O7" s="517"/>
      <c r="P7" s="2264"/>
      <c r="Q7" s="2264">
        <v>1</v>
      </c>
      <c r="R7" s="364"/>
      <c r="S7" s="1049"/>
      <c r="T7" s="1406"/>
      <c r="U7" s="1391"/>
      <c r="V7" s="2304"/>
      <c r="W7" s="2304"/>
      <c r="X7" s="2304"/>
      <c r="Y7" s="2304"/>
      <c r="Z7" s="2304"/>
      <c r="AA7" s="2305"/>
      <c r="AB7" s="2303"/>
      <c r="AC7" s="2304"/>
      <c r="AD7" s="2304"/>
      <c r="AE7" s="2304"/>
      <c r="AF7" s="2304"/>
      <c r="AG7" s="2304"/>
      <c r="AH7" s="2304"/>
      <c r="AI7" s="2304"/>
      <c r="AJ7" s="2304"/>
      <c r="AK7" s="2304"/>
      <c r="AL7" s="2304"/>
      <c r="AM7" s="2304"/>
      <c r="AN7" s="2304"/>
      <c r="AO7" s="2304"/>
      <c r="AP7" s="2304"/>
      <c r="AQ7" s="2304"/>
      <c r="AR7" s="2304"/>
      <c r="AS7" s="2304"/>
      <c r="AT7" s="2305"/>
      <c r="AU7" s="1392"/>
      <c r="AW7" s="507"/>
      <c r="AX7" s="507" t="str">
        <f>IF(T7="","",T7)</f>
        <v/>
      </c>
      <c r="AY7" s="507"/>
      <c r="AZ7" s="507"/>
      <c r="BA7" s="518">
        <v>0</v>
      </c>
    </row>
    <row customHeight="1" ht="21" hidden="1">
      <c r="A8" s="1370"/>
      <c r="B8" s="1370"/>
      <c r="C8" s="1370"/>
      <c r="D8" s="1370"/>
      <c r="E8" s="2266"/>
      <c r="F8" s="2266"/>
      <c r="G8" s="2266"/>
      <c r="H8" s="2266"/>
      <c r="I8" s="2293"/>
      <c r="J8" s="2293"/>
      <c r="K8" s="2263">
        <f>S5&amp;".1"</f>
      </c>
      <c r="L8" s="1371"/>
      <c r="P8" s="2264"/>
      <c r="Q8" s="2264"/>
      <c r="R8" s="2354">
        <v>1</v>
      </c>
      <c r="S8" s="2348">
        <f>$K8</f>
      </c>
      <c r="T8" s="2351"/>
      <c r="U8" s="307"/>
      <c r="V8" s="758"/>
      <c r="W8" s="1264"/>
      <c r="X8" s="2272"/>
      <c r="Y8" s="2114" t="s">
        <v>66</v>
      </c>
      <c r="Z8" s="2272"/>
      <c r="AA8" s="2114" t="s">
        <v>66</v>
      </c>
      <c r="AB8" s="2114" t="s">
        <v>19</v>
      </c>
      <c r="AC8" s="2333"/>
      <c r="AD8" s="2212">
        <v>1</v>
      </c>
      <c r="AE8" s="2334"/>
      <c r="AF8" s="2114" t="s">
        <v>19</v>
      </c>
      <c r="AG8" s="2333"/>
      <c r="AH8" s="2212">
        <v>1</v>
      </c>
      <c r="AI8" s="2334"/>
      <c r="AJ8" s="2114" t="s">
        <v>19</v>
      </c>
      <c r="AK8" s="318"/>
      <c r="AL8" s="1344">
        <v>1</v>
      </c>
      <c r="AM8" s="1405"/>
      <c r="AN8" s="758"/>
      <c r="AO8" s="1264"/>
      <c r="AP8" s="1741"/>
      <c r="AQ8" s="1466" t="s">
        <v>66</v>
      </c>
      <c r="AR8" s="1741"/>
      <c r="AS8" s="1466" t="s">
        <v>66</v>
      </c>
      <c r="AT8" s="1355"/>
      <c r="AU8" s="2260" t="s">
        <v>624</v>
      </c>
      <c r="AV8" s="518">
        <f>STRCHECKDATE(V11:AT11)</f>
      </c>
      <c r="AW8" s="507"/>
      <c r="AX8" s="507" t="str">
        <f>IF(T8="","",T8)</f>
        <v/>
      </c>
      <c r="AY8" s="507"/>
      <c r="AZ8" s="507"/>
      <c r="BA8" s="1162">
        <v>0</v>
      </c>
    </row>
    <row customHeight="1" ht="11.25" hidden="1">
      <c r="A9" s="1370"/>
      <c r="B9" s="1370"/>
      <c r="C9" s="1370"/>
      <c r="D9" s="1370"/>
      <c r="E9" s="2266"/>
      <c r="F9" s="2266"/>
      <c r="G9" s="2266"/>
      <c r="H9" s="2266"/>
      <c r="I9" s="2293"/>
      <c r="J9" s="2293"/>
      <c r="K9" s="2263"/>
      <c r="L9" s="1371"/>
      <c r="P9" s="2264"/>
      <c r="Q9" s="2264"/>
      <c r="R9" s="2354"/>
      <c r="S9" s="2349"/>
      <c r="T9" s="2352"/>
      <c r="U9" s="307"/>
      <c r="V9" s="1400"/>
      <c r="W9" s="1404"/>
      <c r="X9" s="2272"/>
      <c r="Y9" s="2114"/>
      <c r="Z9" s="2272"/>
      <c r="AA9" s="2114"/>
      <c r="AB9" s="2114"/>
      <c r="AC9" s="2333"/>
      <c r="AD9" s="2212"/>
      <c r="AE9" s="2334"/>
      <c r="AF9" s="2114"/>
      <c r="AG9" s="2333"/>
      <c r="AH9" s="2212"/>
      <c r="AI9" s="2334"/>
      <c r="AJ9" s="2114"/>
      <c r="AK9" s="323"/>
      <c r="AL9" s="423"/>
      <c r="AM9" s="422" t="s">
        <v>625</v>
      </c>
      <c r="AN9" s="1400"/>
      <c r="AO9" s="1503"/>
      <c r="AP9" s="1400"/>
      <c r="AQ9" s="1400"/>
      <c r="AR9" s="1400"/>
      <c r="AS9" s="1400"/>
      <c r="AT9" s="1397"/>
      <c r="AU9" s="2261"/>
      <c r="AW9" s="507"/>
      <c r="AX9" s="507"/>
      <c r="AY9" s="507"/>
      <c r="AZ9" s="507"/>
      <c r="BA9" s="1162">
        <v>0</v>
      </c>
    </row>
    <row customHeight="1" ht="11.25" hidden="1">
      <c r="A10" s="1370"/>
      <c r="B10" s="1370"/>
      <c r="C10" s="1370"/>
      <c r="D10" s="1370"/>
      <c r="E10" s="2266"/>
      <c r="F10" s="2266"/>
      <c r="G10" s="2266"/>
      <c r="H10" s="2266"/>
      <c r="I10" s="2293"/>
      <c r="J10" s="2293"/>
      <c r="K10" s="2263"/>
      <c r="L10" s="1371"/>
      <c r="P10" s="2264"/>
      <c r="Q10" s="2264"/>
      <c r="R10" s="2354"/>
      <c r="S10" s="2349"/>
      <c r="T10" s="2352"/>
      <c r="U10" s="307"/>
      <c r="V10" s="1400"/>
      <c r="W10" s="1404"/>
      <c r="X10" s="2272"/>
      <c r="Y10" s="2114"/>
      <c r="Z10" s="2272"/>
      <c r="AA10" s="2114"/>
      <c r="AB10" s="2114"/>
      <c r="AC10" s="2333"/>
      <c r="AD10" s="2212"/>
      <c r="AE10" s="2334"/>
      <c r="AF10" s="2114"/>
      <c r="AG10" s="301"/>
      <c r="AH10" s="422"/>
      <c r="AI10" s="422" t="s">
        <v>626</v>
      </c>
      <c r="AJ10" s="1400"/>
      <c r="AK10" s="1400"/>
      <c r="AL10" s="1400"/>
      <c r="AM10" s="1400"/>
      <c r="AN10" s="1400"/>
      <c r="AO10" s="1503"/>
      <c r="AP10" s="1400"/>
      <c r="AQ10" s="1400"/>
      <c r="AR10" s="1400"/>
      <c r="AS10" s="1400"/>
      <c r="AT10" s="1397"/>
      <c r="AU10" s="2261"/>
      <c r="AW10" s="507"/>
      <c r="AX10" s="507"/>
      <c r="AY10" s="507"/>
      <c r="AZ10" s="507"/>
      <c r="BA10" s="1162">
        <v>0</v>
      </c>
    </row>
    <row customHeight="1" ht="11.25" hidden="1">
      <c r="A11" s="1370"/>
      <c r="B11" s="1370"/>
      <c r="C11" s="1370"/>
      <c r="D11" s="1370"/>
      <c r="E11" s="2266"/>
      <c r="F11" s="2266"/>
      <c r="G11" s="2266"/>
      <c r="H11" s="2266"/>
      <c r="I11" s="2293"/>
      <c r="J11" s="2293"/>
      <c r="K11" s="2263"/>
      <c r="L11" s="1371"/>
      <c r="P11" s="2264"/>
      <c r="Q11" s="2264"/>
      <c r="R11" s="2354"/>
      <c r="S11" s="2350"/>
      <c r="T11" s="2353"/>
      <c r="U11" s="307"/>
      <c r="V11" s="1400"/>
      <c r="W11" s="1403" t="str">
        <f>X8&amp;"-"&amp;Z8</f>
        <v>-</v>
      </c>
      <c r="X11" s="2273"/>
      <c r="Y11" s="2114"/>
      <c r="Z11" s="2273"/>
      <c r="AA11" s="2114"/>
      <c r="AB11" s="2114"/>
      <c r="AC11" s="319"/>
      <c r="AD11" s="321"/>
      <c r="AE11" s="422" t="s">
        <v>627</v>
      </c>
      <c r="AF11" s="1400"/>
      <c r="AG11" s="1400"/>
      <c r="AH11" s="1400"/>
      <c r="AI11" s="1400"/>
      <c r="AJ11" s="1400"/>
      <c r="AK11" s="1400"/>
      <c r="AL11" s="1400"/>
      <c r="AM11" s="1400"/>
      <c r="AN11" s="1400"/>
      <c r="AO11" s="1401" t="str">
        <f>AP8&amp;"-"&amp;AR8</f>
        <v>-</v>
      </c>
      <c r="AP11" s="1400"/>
      <c r="AQ11" s="1400"/>
      <c r="AR11" s="1400"/>
      <c r="AS11" s="1400"/>
      <c r="AT11" s="1356"/>
      <c r="AU11" s="2261"/>
      <c r="AW11" s="507"/>
      <c r="AX11" s="507" t="str">
        <f>IF(T11="","",T11)</f>
        <v/>
      </c>
      <c r="AY11" s="507"/>
      <c r="AZ11" s="507"/>
      <c r="BA11" s="1162">
        <v>0</v>
      </c>
    </row>
    <row customHeight="1" ht="11.25" hidden="1">
      <c r="A12" s="1370"/>
      <c r="B12" s="1370"/>
      <c r="C12" s="1370"/>
      <c r="D12" s="1370"/>
      <c r="E12" s="2266"/>
      <c r="F12" s="2266"/>
      <c r="G12" s="2266"/>
      <c r="H12" s="2266"/>
      <c r="I12" s="2293"/>
      <c r="J12" s="2263"/>
      <c r="K12" s="1370"/>
      <c r="L12" s="1371"/>
      <c r="P12" s="2264"/>
      <c r="Q12" s="2264"/>
      <c r="R12" s="363"/>
      <c r="S12" s="1285"/>
      <c r="T12" s="294" t="s">
        <v>628</v>
      </c>
      <c r="U12" s="374"/>
      <c r="V12" s="374"/>
      <c r="W12" s="374"/>
      <c r="X12" s="374"/>
      <c r="Y12" s="374"/>
      <c r="Z12" s="374"/>
      <c r="AA12" s="374"/>
      <c r="AB12" s="374"/>
      <c r="AC12" s="374"/>
      <c r="AD12" s="374"/>
      <c r="AE12" s="374"/>
      <c r="AF12" s="374"/>
      <c r="AG12" s="374"/>
      <c r="AH12" s="374"/>
      <c r="AI12" s="374"/>
      <c r="AJ12" s="374"/>
      <c r="AK12" s="374"/>
      <c r="AL12" s="374"/>
      <c r="AM12" s="374"/>
      <c r="AN12" s="374"/>
      <c r="AO12" s="374"/>
      <c r="AP12" s="374"/>
      <c r="AQ12" s="374"/>
      <c r="AR12" s="374"/>
      <c r="AS12" s="374"/>
      <c r="AT12" s="331"/>
      <c r="AU12" s="2262"/>
      <c r="AW12" s="507"/>
      <c r="AX12" s="507" t="str">
        <f>IF(T12="","",T12)</f>
        <v>Добавить строку</v>
      </c>
      <c r="AY12" s="507"/>
      <c r="AZ12" s="507"/>
      <c r="BA12" s="1162">
        <v>0</v>
      </c>
    </row>
    <row s="1649" customFormat="1" customHeight="1" ht="0.75" hidden="1">
      <c r="A13" s="1350"/>
      <c r="B13" s="1350"/>
      <c r="C13" s="1350"/>
      <c r="D13" s="1350"/>
      <c r="E13" s="2266"/>
      <c r="F13" s="2266"/>
      <c r="G13" s="2266"/>
      <c r="H13" s="2266"/>
      <c r="I13" s="2263"/>
      <c r="J13" s="1350"/>
      <c r="K13" s="1350"/>
      <c r="L13" s="1353"/>
      <c r="M13" s="517"/>
      <c r="N13" s="517"/>
      <c r="O13" s="517"/>
      <c r="P13" s="2264"/>
      <c r="Q13" s="1338"/>
      <c r="R13" s="363"/>
      <c r="S13" s="1393"/>
      <c r="T13" s="1394"/>
      <c r="U13" s="1395"/>
      <c r="V13" s="1395"/>
      <c r="W13" s="1395"/>
      <c r="X13" s="1395"/>
      <c r="Y13" s="1395"/>
      <c r="Z13" s="1395"/>
      <c r="AA13" s="1395"/>
      <c r="AB13" s="1395"/>
      <c r="AC13" s="1395"/>
      <c r="AD13" s="1395"/>
      <c r="AE13" s="1395"/>
      <c r="AF13" s="1395"/>
      <c r="AG13" s="1395"/>
      <c r="AH13" s="1395"/>
      <c r="AI13" s="1395"/>
      <c r="AJ13" s="1395"/>
      <c r="AK13" s="1395"/>
      <c r="AL13" s="1395"/>
      <c r="AM13" s="1395"/>
      <c r="AN13" s="1395"/>
      <c r="AO13" s="1395"/>
      <c r="AP13" s="1395"/>
      <c r="AQ13" s="1395"/>
      <c r="AR13" s="1395"/>
      <c r="AS13" s="1395"/>
      <c r="AT13" s="1395"/>
      <c r="AU13" s="1396"/>
      <c r="AW13" s="507"/>
      <c r="AX13" s="507" t="str">
        <f>IF(T13="","",T13)</f>
        <v/>
      </c>
      <c r="AY13" s="507"/>
      <c r="AZ13" s="507"/>
      <c r="BA13" s="518">
        <v>0</v>
      </c>
    </row>
    <row s="1649" customFormat="1" customHeight="1" ht="0.75" hidden="1">
      <c r="A14" s="1350"/>
      <c r="B14" s="1350"/>
      <c r="C14" s="1350"/>
      <c r="D14" s="1350"/>
      <c r="E14" s="2266"/>
      <c r="F14" s="2266"/>
      <c r="G14" s="2266"/>
      <c r="H14" s="2265"/>
      <c r="I14" s="1350"/>
      <c r="J14" s="1350"/>
      <c r="K14" s="1350"/>
      <c r="L14" s="1353"/>
      <c r="M14" s="1322"/>
      <c r="N14" s="1322"/>
      <c r="O14" s="525"/>
      <c r="P14" s="387"/>
      <c r="Q14" s="1351"/>
      <c r="R14" s="1408"/>
      <c r="S14" s="1393"/>
      <c r="T14" s="1394"/>
      <c r="U14" s="1395"/>
      <c r="V14" s="1395"/>
      <c r="W14" s="1395"/>
      <c r="X14" s="1395"/>
      <c r="Y14" s="1395"/>
      <c r="Z14" s="1395"/>
      <c r="AA14" s="1395"/>
      <c r="AB14" s="1395"/>
      <c r="AC14" s="1395"/>
      <c r="AD14" s="1395"/>
      <c r="AE14" s="1395"/>
      <c r="AF14" s="1395"/>
      <c r="AG14" s="1395"/>
      <c r="AH14" s="1395"/>
      <c r="AI14" s="1395"/>
      <c r="AJ14" s="1395"/>
      <c r="AK14" s="1395"/>
      <c r="AL14" s="1395"/>
      <c r="AM14" s="1395"/>
      <c r="AN14" s="1395"/>
      <c r="AO14" s="1395"/>
      <c r="AP14" s="1395"/>
      <c r="AQ14" s="1395"/>
      <c r="AR14" s="1395"/>
      <c r="AS14" s="1395"/>
      <c r="AT14" s="1395"/>
      <c r="AU14" s="1396"/>
      <c r="AW14" s="507"/>
      <c r="AX14" s="507" t="str">
        <f>IF(T14="","",T14)</f>
        <v/>
      </c>
      <c r="AY14" s="507"/>
      <c r="AZ14" s="507"/>
      <c r="BA14" s="518">
        <v>0</v>
      </c>
    </row>
    <row s="1649" customFormat="1" customHeight="1" ht="0.75" hidden="1">
      <c r="A15" s="1350"/>
      <c r="B15" s="1350"/>
      <c r="C15" s="1350"/>
      <c r="D15" s="1321"/>
      <c r="E15" s="2266"/>
      <c r="F15" s="2266"/>
      <c r="G15" s="2265"/>
      <c r="H15" s="1321"/>
      <c r="I15" s="1321"/>
      <c r="J15" s="1321"/>
      <c r="K15" s="1321"/>
      <c r="L15" s="1346"/>
      <c r="M15" s="1322"/>
      <c r="N15" s="1322"/>
      <c r="P15" s="1323"/>
      <c r="Q15" s="1324"/>
      <c r="R15" s="1323"/>
      <c r="S15" s="1329"/>
      <c r="T15" s="1332" t="s">
        <v>577</v>
      </c>
      <c r="U15" s="1331"/>
      <c r="V15" s="1331"/>
      <c r="W15" s="1331"/>
      <c r="X15" s="1331"/>
      <c r="Y15" s="1331"/>
      <c r="Z15" s="1331"/>
      <c r="AA15" s="1331"/>
      <c r="AB15" s="1331"/>
      <c r="AC15" s="1331"/>
      <c r="AD15" s="1331"/>
      <c r="AE15" s="1331"/>
      <c r="AF15" s="1331"/>
      <c r="AG15" s="1331"/>
      <c r="AH15" s="1331"/>
      <c r="AI15" s="1331"/>
      <c r="AJ15" s="1331"/>
      <c r="AK15" s="1331"/>
      <c r="AL15" s="1331"/>
      <c r="AM15" s="1331"/>
      <c r="AN15" s="1331"/>
      <c r="AO15" s="1331"/>
      <c r="AP15" s="1331"/>
      <c r="AQ15" s="1331"/>
      <c r="AR15" s="1331"/>
      <c r="AS15" s="1331"/>
      <c r="AT15" s="1331"/>
      <c r="AU15" s="1331"/>
      <c r="AW15" s="796"/>
      <c r="AX15" s="796" t="str">
        <f>IF(T15="","",T15)</f>
        <v>Добавить источник для дифференциации</v>
      </c>
      <c r="AY15" s="796"/>
      <c r="AZ15" s="796"/>
      <c r="BA15" s="525">
        <v>0</v>
      </c>
    </row>
    <row s="1649" customFormat="1" customHeight="1" ht="0.75" hidden="1">
      <c r="A16" s="1350"/>
      <c r="B16" s="1350"/>
      <c r="C16" s="1321"/>
      <c r="D16" s="1321"/>
      <c r="E16" s="2266"/>
      <c r="F16" s="2265"/>
      <c r="G16" s="1321"/>
      <c r="H16" s="1321"/>
      <c r="I16" s="1321"/>
      <c r="J16" s="1321"/>
      <c r="K16" s="1321"/>
      <c r="L16" s="1346"/>
      <c r="M16" s="1328"/>
      <c r="N16" s="1328"/>
      <c r="P16" s="1323"/>
      <c r="Q16" s="1324"/>
      <c r="R16" s="1323"/>
      <c r="S16" s="1329"/>
      <c r="T16" s="1332" t="s">
        <v>316</v>
      </c>
      <c r="U16" s="1331"/>
      <c r="V16" s="1331"/>
      <c r="W16" s="1331"/>
      <c r="X16" s="1331"/>
      <c r="Y16" s="1331"/>
      <c r="Z16" s="1331"/>
      <c r="AA16" s="1331"/>
      <c r="AB16" s="1331"/>
      <c r="AC16" s="1331"/>
      <c r="AD16" s="1331"/>
      <c r="AE16" s="1331"/>
      <c r="AF16" s="1331"/>
      <c r="AG16" s="1331"/>
      <c r="AH16" s="1331"/>
      <c r="AI16" s="1331"/>
      <c r="AJ16" s="1331"/>
      <c r="AK16" s="1331"/>
      <c r="AL16" s="1331"/>
      <c r="AM16" s="1331"/>
      <c r="AN16" s="1331"/>
      <c r="AO16" s="1331"/>
      <c r="AP16" s="1331"/>
      <c r="AQ16" s="1331"/>
      <c r="AR16" s="1331"/>
      <c r="AS16" s="1331"/>
      <c r="AT16" s="1331"/>
      <c r="AU16" s="1331"/>
      <c r="AW16" s="796"/>
      <c r="AX16" s="796" t="str">
        <f>IF(T16="","",T16)</f>
        <v>Добавить централизованную систему для дифференциации</v>
      </c>
      <c r="AY16" s="796"/>
      <c r="AZ16" s="796"/>
      <c r="BA16" s="525">
        <v>0</v>
      </c>
    </row>
    <row s="1649" customFormat="1" customHeight="1" ht="0.75" hidden="1">
      <c r="A17" s="1350"/>
      <c r="B17" s="1350"/>
      <c r="C17" s="1350"/>
      <c r="D17" s="1350"/>
      <c r="E17" s="2265"/>
      <c r="F17" s="1350"/>
      <c r="G17" s="1350"/>
      <c r="H17" s="1350"/>
      <c r="I17" s="1350"/>
      <c r="J17" s="1350"/>
      <c r="K17" s="1350"/>
      <c r="L17" s="1353"/>
      <c r="M17" s="1328"/>
      <c r="N17" s="1328"/>
      <c r="O17" s="525"/>
      <c r="P17" s="387"/>
      <c r="Q17" s="1351"/>
      <c r="R17" s="387"/>
      <c r="S17" s="1329"/>
      <c r="T17" s="1332" t="s">
        <v>390</v>
      </c>
      <c r="U17" s="1331"/>
      <c r="V17" s="1331"/>
      <c r="W17" s="1331"/>
      <c r="X17" s="1331"/>
      <c r="Y17" s="1331"/>
      <c r="Z17" s="1331"/>
      <c r="AA17" s="1331"/>
      <c r="AB17" s="1331"/>
      <c r="AC17" s="1331"/>
      <c r="AD17" s="1331"/>
      <c r="AE17" s="1331"/>
      <c r="AF17" s="1331"/>
      <c r="AG17" s="1331"/>
      <c r="AH17" s="1331"/>
      <c r="AI17" s="1331"/>
      <c r="AJ17" s="1331"/>
      <c r="AK17" s="1331"/>
      <c r="AL17" s="1331"/>
      <c r="AM17" s="1331"/>
      <c r="AN17" s="1331"/>
      <c r="AO17" s="1331"/>
      <c r="AP17" s="1331"/>
      <c r="AQ17" s="1331"/>
      <c r="AR17" s="1331"/>
      <c r="AS17" s="1331"/>
      <c r="AT17" s="1331"/>
      <c r="AU17" s="1331"/>
      <c r="AW17" s="507"/>
      <c r="AX17" s="507" t="str">
        <f>IF(T17="","",T17)</f>
        <v>Добавить территорию для дифференциации</v>
      </c>
      <c r="AY17" s="507"/>
      <c r="AZ17" s="507"/>
      <c r="BA17" s="518">
        <v>0</v>
      </c>
    </row>
    <row customHeight="1" ht="14.25" hidden="1">
      <c r="AA18" s="334"/>
      <c r="AS18" s="334"/>
      <c r="BA18" s="1162">
        <v>0</v>
      </c>
    </row>
    <row customHeight="1" ht="14.25" hidden="1">
      <c r="AB19" s="1331" t="s">
        <v>19</v>
      </c>
      <c r="AC19" s="1508"/>
      <c r="AD19" s="555">
        <v>1</v>
      </c>
      <c r="AE19" s="1509"/>
      <c r="AF19" s="1331" t="s">
        <v>19</v>
      </c>
      <c r="AG19" s="1508"/>
      <c r="AH19" s="555">
        <v>1</v>
      </c>
      <c r="AI19" s="1509"/>
      <c r="AJ19" s="1331" t="s">
        <v>19</v>
      </c>
      <c r="AK19" s="1510"/>
      <c r="AL19" s="555">
        <v>1</v>
      </c>
      <c r="AM19" s="1513"/>
      <c r="AN19" s="1410"/>
      <c r="AO19" s="1411"/>
      <c r="AP19" s="1743"/>
      <c r="AQ19" s="1467" t="s">
        <v>66</v>
      </c>
      <c r="AR19" s="1743"/>
      <c r="AS19" s="1467" t="s">
        <v>66</v>
      </c>
      <c r="BA19" s="1162">
        <v>0</v>
      </c>
    </row>
    <row customHeight="1" ht="14.25" hidden="1">
      <c r="AV20" s="503"/>
      <c r="AW20" s="503"/>
      <c r="AX20" s="503"/>
      <c r="AY20" s="503"/>
      <c r="AZ20" s="503"/>
      <c r="BA20" s="1162">
        <v>0</v>
      </c>
    </row>
    <row customHeight="1" ht="14.25" hidden="1">
      <c r="O21" s="1374" t="s">
        <v>578</v>
      </c>
      <c r="X21" s="1352"/>
      <c r="Z21" s="1352"/>
      <c r="AA21" s="334"/>
      <c r="AP21" s="1352"/>
      <c r="AR21" s="1352"/>
      <c r="AS21" s="334"/>
      <c r="AV21" s="503"/>
      <c r="AW21" s="503"/>
      <c r="AX21" s="503"/>
      <c r="AY21" s="503"/>
      <c r="AZ21" s="503"/>
      <c r="BA21" s="1162">
        <v>0</v>
      </c>
    </row>
    <row customHeight="1" ht="14.25" hidden="1">
      <c r="AA22" s="334"/>
      <c r="AS22" s="334"/>
      <c r="AV22" s="503"/>
      <c r="AW22" s="503"/>
      <c r="AX22" s="503"/>
      <c r="AY22" s="503"/>
      <c r="AZ22" s="503"/>
      <c r="BA22" s="1162">
        <v>0</v>
      </c>
    </row>
    <row s="1516" customFormat="1" customHeight="1" ht="14.25" hidden="1">
      <c r="M23" s="1515"/>
      <c r="N23" s="1515"/>
      <c r="O23" s="1516" t="s">
        <v>579</v>
      </c>
      <c r="P23" s="1515"/>
      <c r="Q23" s="1517"/>
      <c r="R23" s="1517"/>
      <c r="Y23" s="1514" t="s">
        <v>581</v>
      </c>
      <c r="AA23" s="1514" t="s">
        <v>582</v>
      </c>
      <c r="AB23" s="1514" t="s">
        <v>629</v>
      </c>
      <c r="AE23" s="1514" t="s">
        <v>630</v>
      </c>
      <c r="AF23" s="1514" t="s">
        <v>629</v>
      </c>
      <c r="AI23" s="1514" t="s">
        <v>631</v>
      </c>
      <c r="AJ23" s="1514" t="s">
        <v>629</v>
      </c>
      <c r="AM23" s="1514" t="s">
        <v>632</v>
      </c>
      <c r="AQ23" s="1514" t="s">
        <v>581</v>
      </c>
      <c r="AS23" s="1514" t="s">
        <v>582</v>
      </c>
      <c r="AV23" s="1518"/>
      <c r="AW23" s="1518"/>
      <c r="AX23" s="1518"/>
      <c r="AY23" s="1518"/>
      <c r="AZ23" s="1518"/>
      <c r="BA23" s="1514">
        <v>0</v>
      </c>
    </row>
    <row customHeight="1" ht="14.25" hidden="1">
      <c r="O24" s="1371"/>
      <c r="AV24" s="503"/>
      <c r="AW24" s="503"/>
      <c r="AX24" s="503"/>
      <c r="AY24" s="503"/>
      <c r="AZ24" s="503"/>
      <c r="BA24" s="1162">
        <v>0</v>
      </c>
    </row>
    <row customHeight="1" ht="14.25" hidden="1">
      <c r="O25" s="1371"/>
      <c r="AV25" s="503"/>
      <c r="AW25" s="503"/>
      <c r="AX25" s="503"/>
      <c r="AY25" s="503"/>
      <c r="AZ25" s="503"/>
      <c r="BA25" s="1162">
        <v>0</v>
      </c>
    </row>
    <row customHeight="1" ht="14.699999999999998">
      <c r="Q26" s="298"/>
      <c r="R26" s="383"/>
      <c r="S26" s="1282"/>
      <c r="T26" s="370"/>
      <c r="U26" s="370"/>
      <c r="V26" s="516"/>
      <c r="W26" s="516"/>
      <c r="X26" s="516"/>
      <c r="Y26" s="516"/>
      <c r="Z26" s="516"/>
      <c r="AA26" s="516"/>
      <c r="AB26" s="516"/>
      <c r="AC26" s="516"/>
      <c r="AD26" s="516"/>
      <c r="AE26" s="516"/>
      <c r="AF26" s="516"/>
      <c r="AG26" s="516"/>
      <c r="AH26" s="516"/>
      <c r="AI26" s="516"/>
      <c r="AJ26" s="516"/>
      <c r="AK26" s="516"/>
      <c r="AL26" s="516"/>
      <c r="AM26" s="516"/>
      <c r="AN26" s="516"/>
      <c r="AO26" s="516"/>
      <c r="AP26" s="516"/>
      <c r="AQ26" s="516"/>
      <c r="AR26" s="516"/>
      <c r="AS26" s="516"/>
      <c r="BA26" s="1162">
        <v>14</v>
      </c>
    </row>
    <row customHeight="1" ht="27.299999999999997">
      <c r="Q27" s="298"/>
      <c r="R27" s="383"/>
      <c r="S27" s="2255"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5"/>
      <c r="U27" s="2255"/>
      <c r="V27" s="2255"/>
      <c r="W27" s="2255"/>
      <c r="X27" s="2255"/>
      <c r="Y27" s="2255"/>
      <c r="Z27" s="2255"/>
      <c r="AA27" s="2255"/>
      <c r="AB27" s="2255"/>
      <c r="AC27" s="2255"/>
      <c r="AD27" s="2255"/>
      <c r="AE27" s="2255"/>
      <c r="AF27" s="2255"/>
      <c r="AG27" s="2255"/>
      <c r="AH27" s="2255"/>
      <c r="AI27" s="2255"/>
      <c r="AJ27" s="2255"/>
      <c r="AK27" s="2255"/>
      <c r="AL27" s="2255"/>
      <c r="AM27" s="2255"/>
      <c r="AN27" s="2255"/>
      <c r="AO27" s="2255"/>
      <c r="AP27" s="2255"/>
      <c r="AQ27" s="2255"/>
      <c r="AR27" s="2255"/>
      <c r="AS27" s="1250"/>
      <c r="BA27" s="1162">
        <v>26</v>
      </c>
    </row>
    <row customHeight="1" ht="14.699999999999998">
      <c r="Q28" s="298"/>
      <c r="R28" s="383"/>
      <c r="S28" s="2256" t="str">
        <f>IF(org=0,"Не определено",org)</f>
        <v>ГУП "Белоблводоканал"</v>
      </c>
      <c r="T28" s="2256"/>
      <c r="U28" s="2256"/>
      <c r="V28" s="2256"/>
      <c r="W28" s="2256"/>
      <c r="X28" s="2256"/>
      <c r="Y28" s="2256"/>
      <c r="Z28" s="2256"/>
      <c r="AA28" s="2256"/>
      <c r="AB28" s="2256"/>
      <c r="AC28" s="2256"/>
      <c r="AD28" s="2256"/>
      <c r="AE28" s="2256"/>
      <c r="AF28" s="2256"/>
      <c r="AG28" s="2256"/>
      <c r="AH28" s="2256"/>
      <c r="AI28" s="2256"/>
      <c r="AJ28" s="2256"/>
      <c r="AK28" s="2256"/>
      <c r="AL28" s="2256"/>
      <c r="AM28" s="2256"/>
      <c r="AN28" s="2256"/>
      <c r="AO28" s="2256"/>
      <c r="AP28" s="2256"/>
      <c r="AQ28" s="2256"/>
      <c r="AR28" s="2256"/>
      <c r="AS28" s="1250"/>
      <c r="BA28" s="1162">
        <v>14</v>
      </c>
    </row>
    <row customHeight="1" ht="14.25" hidden="1">
      <c r="Q29" s="298"/>
      <c r="R29" s="383"/>
      <c r="S29" s="1282"/>
      <c r="T29" s="370"/>
      <c r="U29" s="370"/>
      <c r="V29" s="329"/>
      <c r="W29" s="329"/>
      <c r="X29" s="329"/>
      <c r="Y29" s="329"/>
      <c r="Z29" s="329"/>
      <c r="AA29" s="329"/>
      <c r="AB29" s="329"/>
      <c r="AC29" s="329"/>
      <c r="AD29" s="329"/>
      <c r="AE29" s="329"/>
      <c r="AF29" s="329"/>
      <c r="AG29" s="329"/>
      <c r="AH29" s="329"/>
      <c r="AI29" s="329"/>
      <c r="AJ29" s="329"/>
      <c r="AK29" s="329"/>
      <c r="AL29" s="329"/>
      <c r="AM29" s="329"/>
      <c r="AN29" s="329"/>
      <c r="AO29" s="329"/>
      <c r="AP29" s="329"/>
      <c r="AQ29" s="329"/>
      <c r="AR29" s="329"/>
      <c r="AS29" s="329"/>
      <c r="AT29" s="516"/>
      <c r="BA29" s="1162">
        <v>0</v>
      </c>
    </row>
    <row s="1860" customFormat="1" customHeight="1" ht="25.5" hidden="1">
      <c r="A30" s="1375"/>
      <c r="B30" s="1375"/>
      <c r="C30" s="1375"/>
      <c r="D30" s="1375"/>
      <c r="E30" s="1375"/>
      <c r="F30" s="1375"/>
      <c r="G30" s="1375"/>
      <c r="H30" s="1375"/>
      <c r="I30" s="1375"/>
      <c r="J30" s="1375"/>
      <c r="K30" s="1375"/>
      <c r="L30" s="1376"/>
      <c r="M30" s="1375"/>
      <c r="N30" s="1375"/>
      <c r="O30" s="1375"/>
      <c r="P30" s="1375"/>
      <c r="Q30" s="1375"/>
      <c r="S30" s="2257" t="s">
        <v>42</v>
      </c>
      <c r="T30" s="2257"/>
      <c r="U30" s="1379"/>
      <c r="V30" s="2258" t="str">
        <f>IF(TITLE_NAME_OR_PR_CHANGE="",IF(TITLE_NAME_OR_PR="","",TITLE_NAME_OR_PR),TITLE_NAME_OR_PR_CHANGE)</f>
        <v/>
      </c>
      <c r="W30" s="2258"/>
      <c r="X30" s="2258"/>
      <c r="Y30" s="2258"/>
      <c r="Z30" s="2258"/>
      <c r="AA30" s="333"/>
      <c r="AB30" s="2258" t="str">
        <f>IF(TITLE_NAME_OR_PR_CHANGE="",IF(TITLE_NAME_OR_PR="","",TITLE_NAME_OR_PR),TITLE_NAME_OR_PR_CHANGE)</f>
        <v/>
      </c>
      <c r="AC30" s="2258"/>
      <c r="AD30" s="2258"/>
      <c r="AE30" s="2258"/>
      <c r="AF30" s="2258"/>
      <c r="AG30" s="2258"/>
      <c r="AH30" s="2258"/>
      <c r="AI30" s="2258"/>
      <c r="AJ30" s="2258"/>
      <c r="AK30" s="2258"/>
      <c r="AL30" s="2258"/>
      <c r="AM30" s="2258"/>
      <c r="AN30" s="2258"/>
      <c r="AO30" s="2258"/>
      <c r="AP30" s="2258"/>
      <c r="AQ30" s="2258"/>
      <c r="AR30" s="2258"/>
      <c r="AS30" s="333"/>
      <c r="AT30" s="333"/>
      <c r="AU30" s="287"/>
      <c r="AV30" s="375"/>
      <c r="AW30" s="375"/>
      <c r="AX30" s="375"/>
      <c r="AY30" s="375"/>
      <c r="AZ30" s="375"/>
      <c r="BA30" s="425">
        <v>0</v>
      </c>
    </row>
    <row s="1860" customFormat="1" customHeight="1" ht="18.75" hidden="1">
      <c r="A31" s="1375"/>
      <c r="B31" s="1375"/>
      <c r="C31" s="1375"/>
      <c r="D31" s="1375"/>
      <c r="E31" s="1375"/>
      <c r="F31" s="1375"/>
      <c r="G31" s="1375"/>
      <c r="H31" s="1375"/>
      <c r="I31" s="1375"/>
      <c r="J31" s="1375"/>
      <c r="K31" s="1375"/>
      <c r="L31" s="1376"/>
      <c r="M31" s="1375"/>
      <c r="N31" s="1375"/>
      <c r="O31" s="1375"/>
      <c r="P31" s="1375"/>
      <c r="Q31" s="1375"/>
      <c r="S31" s="2257" t="s">
        <v>584</v>
      </c>
      <c r="T31" s="2257"/>
      <c r="U31" s="1379"/>
      <c r="V31" s="2271" t="str">
        <f>IF(TITLE_DATE_PR_CHANGE="",IF(TITLE_DATE_PR="","",TITLE_DATE_PR),TITLE_DATE_PR_CHANGE)</f>
        <v>45432</v>
      </c>
      <c r="W31" s="2271"/>
      <c r="X31" s="2271"/>
      <c r="Y31" s="2271"/>
      <c r="Z31" s="2271"/>
      <c r="AA31" s="333"/>
      <c r="AB31" s="2271" t="str">
        <f>IF(TITLE_DATE_PR_CHANGE="",IF(TITLE_DATE_PR="","",TITLE_DATE_PR),TITLE_DATE_PR_CHANGE)</f>
        <v>45432</v>
      </c>
      <c r="AC31" s="2271"/>
      <c r="AD31" s="2271"/>
      <c r="AE31" s="2271"/>
      <c r="AF31" s="2271"/>
      <c r="AG31" s="2271"/>
      <c r="AH31" s="2271"/>
      <c r="AI31" s="2271"/>
      <c r="AJ31" s="2271"/>
      <c r="AK31" s="2271"/>
      <c r="AL31" s="2271"/>
      <c r="AM31" s="2271"/>
      <c r="AN31" s="2271"/>
      <c r="AO31" s="2271"/>
      <c r="AP31" s="2271"/>
      <c r="AQ31" s="2271"/>
      <c r="AR31" s="2271"/>
      <c r="AS31" s="333"/>
      <c r="AT31" s="333"/>
      <c r="AU31" s="287"/>
      <c r="AV31" s="375"/>
      <c r="AW31" s="375"/>
      <c r="AX31" s="375"/>
      <c r="AY31" s="375"/>
      <c r="AZ31" s="375"/>
      <c r="BA31" s="425">
        <v>0</v>
      </c>
    </row>
    <row s="1860" customFormat="1" customHeight="1" ht="18.75" hidden="1">
      <c r="A32" s="1375"/>
      <c r="B32" s="1375"/>
      <c r="C32" s="1375"/>
      <c r="D32" s="1375"/>
      <c r="E32" s="1375"/>
      <c r="F32" s="1375"/>
      <c r="G32" s="1375"/>
      <c r="H32" s="1375"/>
      <c r="I32" s="1375"/>
      <c r="J32" s="1375"/>
      <c r="K32" s="1375"/>
      <c r="L32" s="1376"/>
      <c r="M32" s="1375"/>
      <c r="N32" s="1375"/>
      <c r="O32" s="1375"/>
      <c r="P32" s="1375"/>
      <c r="Q32" s="1375"/>
      <c r="S32" s="2257" t="s">
        <v>585</v>
      </c>
      <c r="T32" s="2257"/>
      <c r="U32" s="1379"/>
      <c r="V32" s="2258" t="str">
        <f>IF(TITLE_NUMBER_PR_CHANGE="",IF(TITLE_NUMBER_PR="","",TITLE_NUMBER_PR),TITLE_NUMBER_PR_CHANGE)</f>
        <v>29-12/1427</v>
      </c>
      <c r="W32" s="2258"/>
      <c r="X32" s="2258"/>
      <c r="Y32" s="2258"/>
      <c r="Z32" s="2258"/>
      <c r="AA32" s="333"/>
      <c r="AB32" s="2258" t="str">
        <f>IF(TITLE_NUMBER_PR_CHANGE="",IF(TITLE_NUMBER_PR="","",TITLE_NUMBER_PR),TITLE_NUMBER_PR_CHANGE)</f>
        <v>29-12/1427</v>
      </c>
      <c r="AC32" s="2258"/>
      <c r="AD32" s="2258"/>
      <c r="AE32" s="2258"/>
      <c r="AF32" s="2258"/>
      <c r="AG32" s="2258"/>
      <c r="AH32" s="2258"/>
      <c r="AI32" s="2258"/>
      <c r="AJ32" s="2258"/>
      <c r="AK32" s="2258"/>
      <c r="AL32" s="2258"/>
      <c r="AM32" s="2258"/>
      <c r="AN32" s="2258"/>
      <c r="AO32" s="2258"/>
      <c r="AP32" s="2258"/>
      <c r="AQ32" s="2258"/>
      <c r="AR32" s="2258"/>
      <c r="AS32" s="333"/>
      <c r="AT32" s="333"/>
      <c r="AU32" s="287"/>
      <c r="AV32" s="375"/>
      <c r="AW32" s="375"/>
      <c r="AX32" s="375"/>
      <c r="AY32" s="375"/>
      <c r="AZ32" s="375"/>
      <c r="BA32" s="425">
        <v>0</v>
      </c>
    </row>
    <row s="1860" customFormat="1" customHeight="1" ht="18.75" hidden="1">
      <c r="A33" s="1375"/>
      <c r="B33" s="1375"/>
      <c r="C33" s="1375"/>
      <c r="D33" s="1375"/>
      <c r="E33" s="1375"/>
      <c r="F33" s="1375"/>
      <c r="G33" s="1375"/>
      <c r="H33" s="1375"/>
      <c r="I33" s="1375"/>
      <c r="J33" s="1375"/>
      <c r="K33" s="1375"/>
      <c r="L33" s="1376"/>
      <c r="M33" s="1375"/>
      <c r="N33" s="1375"/>
      <c r="O33" s="1375"/>
      <c r="P33" s="1375"/>
      <c r="Q33" s="1375"/>
      <c r="S33" s="2257" t="s">
        <v>43</v>
      </c>
      <c r="T33" s="2257"/>
      <c r="U33" s="1379"/>
      <c r="V33" s="2258" t="str">
        <f>IF(TITLE_IST_PUB_CHANGE="",IF(TITLE_IST_PUB="","",TITLE_IST_PUB),TITLE_IST_PUB_CHANGE)</f>
        <v/>
      </c>
      <c r="W33" s="2258"/>
      <c r="X33" s="2258"/>
      <c r="Y33" s="2258"/>
      <c r="Z33" s="2258"/>
      <c r="AA33" s="333"/>
      <c r="AB33" s="2258" t="str">
        <f>IF(TITLE_IST_PUB_CHANGE="",IF(TITLE_IST_PUB="","",TITLE_IST_PUB),TITLE_IST_PUB_CHANGE)</f>
        <v/>
      </c>
      <c r="AC33" s="2258"/>
      <c r="AD33" s="2258"/>
      <c r="AE33" s="2258"/>
      <c r="AF33" s="2258"/>
      <c r="AG33" s="2258"/>
      <c r="AH33" s="2258"/>
      <c r="AI33" s="2258"/>
      <c r="AJ33" s="2258"/>
      <c r="AK33" s="2258"/>
      <c r="AL33" s="2258"/>
      <c r="AM33" s="2258"/>
      <c r="AN33" s="2258"/>
      <c r="AO33" s="2258"/>
      <c r="AP33" s="2258"/>
      <c r="AQ33" s="2258"/>
      <c r="AR33" s="2258"/>
      <c r="AS33" s="333"/>
      <c r="AT33" s="333"/>
      <c r="AU33" s="287"/>
      <c r="AV33" s="375"/>
      <c r="AW33" s="375"/>
      <c r="AX33" s="375"/>
      <c r="AY33" s="375"/>
      <c r="AZ33" s="375"/>
      <c r="BA33" s="425">
        <v>0</v>
      </c>
    </row>
    <row customHeight="1" ht="14.25">
      <c r="Q34" s="298"/>
      <c r="R34" s="383"/>
      <c r="S34" s="1282"/>
      <c r="T34" s="370"/>
      <c r="U34" s="370"/>
      <c r="V34" s="329"/>
      <c r="W34" s="329"/>
      <c r="X34" s="329"/>
      <c r="Y34" s="329"/>
      <c r="Z34" s="329"/>
      <c r="AA34" s="329"/>
      <c r="AB34" s="329"/>
      <c r="AC34" s="329"/>
      <c r="AD34" s="329"/>
      <c r="AE34" s="329"/>
      <c r="AF34" s="329"/>
      <c r="AG34" s="329"/>
      <c r="AH34" s="329"/>
      <c r="AI34" s="329"/>
      <c r="AJ34" s="329"/>
      <c r="AK34" s="329"/>
      <c r="AL34" s="329"/>
      <c r="AM34" s="329"/>
      <c r="AN34" s="329"/>
      <c r="AO34" s="329"/>
      <c r="AP34" s="329"/>
      <c r="AQ34" s="329"/>
      <c r="AR34" s="329"/>
      <c r="AS34" s="329"/>
      <c r="AT34" s="516"/>
      <c r="BA34" s="1162">
        <v>0</v>
      </c>
    </row>
    <row s="1860" customFormat="1" customHeight="1" ht="18.75">
      <c r="A35" s="1375"/>
      <c r="B35" s="1375"/>
      <c r="C35" s="1375"/>
      <c r="D35" s="1375"/>
      <c r="E35" s="1375"/>
      <c r="F35" s="1375"/>
      <c r="G35" s="1375"/>
      <c r="H35" s="1375"/>
      <c r="I35" s="1375"/>
      <c r="J35" s="1375"/>
      <c r="K35" s="1375"/>
      <c r="L35" s="1376"/>
      <c r="M35" s="1375"/>
      <c r="N35" s="1375"/>
      <c r="O35" s="1375"/>
      <c r="P35" s="1375"/>
      <c r="Q35" s="1375"/>
      <c r="S35" s="2257" t="s">
        <v>584</v>
      </c>
      <c r="T35" s="2257"/>
      <c r="U35" s="1379"/>
      <c r="V35" s="2271" t="str">
        <f>IF(TITLE_DATE_PR_CHANGE="",IF(TITLE_DATE_PR="","",TITLE_DATE_PR),TITLE_DATE_PR_CHANGE)</f>
        <v>45432</v>
      </c>
      <c r="W35" s="2271"/>
      <c r="X35" s="2271"/>
      <c r="Y35" s="2271"/>
      <c r="Z35" s="2271"/>
      <c r="AA35" s="333"/>
      <c r="AB35" s="2271" t="str">
        <f>IF(TITLE_DATE_PR_CHANGE="",IF(TITLE_DATE_PR="","",TITLE_DATE_PR),TITLE_DATE_PR_CHANGE)</f>
        <v>45432</v>
      </c>
      <c r="AC35" s="2271"/>
      <c r="AD35" s="2271"/>
      <c r="AE35" s="2271"/>
      <c r="AF35" s="2271"/>
      <c r="AG35" s="2271"/>
      <c r="AH35" s="2271"/>
      <c r="AI35" s="2271"/>
      <c r="AJ35" s="2271"/>
      <c r="AK35" s="2271"/>
      <c r="AL35" s="2271"/>
      <c r="AM35" s="2271"/>
      <c r="AN35" s="2271"/>
      <c r="AO35" s="2271"/>
      <c r="AP35" s="2271"/>
      <c r="AQ35" s="2271"/>
      <c r="AR35" s="2271"/>
      <c r="AS35" s="333"/>
      <c r="AT35" s="333"/>
      <c r="AU35" s="287"/>
      <c r="AV35" s="375"/>
      <c r="AW35" s="375"/>
      <c r="AX35" s="375"/>
      <c r="AY35" s="375"/>
      <c r="AZ35" s="375"/>
      <c r="BA35" s="425">
        <v>0</v>
      </c>
    </row>
    <row s="1860" customFormat="1" customHeight="1" ht="18">
      <c r="A36" s="1375"/>
      <c r="B36" s="1375"/>
      <c r="C36" s="1375"/>
      <c r="D36" s="1375"/>
      <c r="E36" s="1375"/>
      <c r="F36" s="1375"/>
      <c r="G36" s="1375"/>
      <c r="H36" s="1375"/>
      <c r="I36" s="1375"/>
      <c r="J36" s="1375"/>
      <c r="K36" s="1375"/>
      <c r="L36" s="1376"/>
      <c r="M36" s="1375"/>
      <c r="N36" s="1375"/>
      <c r="O36" s="1375"/>
      <c r="P36" s="1375"/>
      <c r="Q36" s="1375"/>
      <c r="S36" s="2257" t="s">
        <v>585</v>
      </c>
      <c r="T36" s="2257"/>
      <c r="U36" s="1379"/>
      <c r="V36" s="2258" t="str">
        <f>IF(TITLE_NUMBER_PR_CHANGE="",IF(TITLE_NUMBER_PR="","",TITLE_NUMBER_PR),TITLE_NUMBER_PR_CHANGE)</f>
        <v>29-12/1427</v>
      </c>
      <c r="W36" s="2258"/>
      <c r="X36" s="2258"/>
      <c r="Y36" s="2258"/>
      <c r="Z36" s="2258"/>
      <c r="AA36" s="333"/>
      <c r="AB36" s="2258" t="str">
        <f>IF(TITLE_NUMBER_PR_CHANGE="",IF(TITLE_NUMBER_PR="","",TITLE_NUMBER_PR),TITLE_NUMBER_PR_CHANGE)</f>
        <v>29-12/1427</v>
      </c>
      <c r="AC36" s="2258"/>
      <c r="AD36" s="2258"/>
      <c r="AE36" s="2258"/>
      <c r="AF36" s="2258"/>
      <c r="AG36" s="2258"/>
      <c r="AH36" s="2258"/>
      <c r="AI36" s="2258"/>
      <c r="AJ36" s="2258"/>
      <c r="AK36" s="2258"/>
      <c r="AL36" s="2258"/>
      <c r="AM36" s="2258"/>
      <c r="AN36" s="2258"/>
      <c r="AO36" s="2258"/>
      <c r="AP36" s="2258"/>
      <c r="AQ36" s="2258"/>
      <c r="AR36" s="2258"/>
      <c r="AS36" s="333"/>
      <c r="AT36" s="333"/>
      <c r="AU36" s="287"/>
      <c r="AV36" s="375"/>
      <c r="AW36" s="375"/>
      <c r="AX36" s="375"/>
      <c r="AY36" s="375"/>
      <c r="AZ36" s="375"/>
      <c r="BA36" s="425">
        <v>0</v>
      </c>
    </row>
    <row s="1860" customFormat="1" customHeight="1" ht="1.05">
      <c r="A37" s="1375"/>
      <c r="B37" s="1375"/>
      <c r="C37" s="1375"/>
      <c r="D37" s="1375"/>
      <c r="E37" s="1375"/>
      <c r="F37" s="1375"/>
      <c r="G37" s="1375"/>
      <c r="H37" s="1375"/>
      <c r="I37" s="1375"/>
      <c r="J37" s="1375"/>
      <c r="K37" s="1375"/>
      <c r="L37" s="1376"/>
      <c r="M37" s="1375"/>
      <c r="N37" s="1375"/>
      <c r="O37" s="1375"/>
      <c r="P37" s="1375"/>
      <c r="Q37" s="1375"/>
      <c r="S37" s="330"/>
      <c r="T37" s="330"/>
      <c r="U37" s="1347"/>
      <c r="V37" s="333"/>
      <c r="W37" s="333"/>
      <c r="X37" s="333"/>
      <c r="Y37" s="333"/>
      <c r="Z37" s="333"/>
      <c r="AA37" s="285" t="s">
        <v>588</v>
      </c>
      <c r="AB37" s="333"/>
      <c r="AC37" s="333"/>
      <c r="AD37" s="333"/>
      <c r="AE37" s="333"/>
      <c r="AF37" s="333"/>
      <c r="AG37" s="333"/>
      <c r="AH37" s="333"/>
      <c r="AI37" s="333"/>
      <c r="AJ37" s="333"/>
      <c r="AK37" s="333"/>
      <c r="AL37" s="333"/>
      <c r="AM37" s="333"/>
      <c r="AN37" s="333"/>
      <c r="AO37" s="333"/>
      <c r="AP37" s="333"/>
      <c r="AQ37" s="333"/>
      <c r="AR37" s="333"/>
      <c r="AS37" s="285" t="s">
        <v>588</v>
      </c>
      <c r="AV37" s="375"/>
      <c r="AW37" s="375"/>
      <c r="AX37" s="375"/>
      <c r="AY37" s="375"/>
      <c r="AZ37" s="375"/>
      <c r="BA37" s="425">
        <v>1</v>
      </c>
    </row>
    <row customHeight="1" ht="14.699999999999998">
      <c r="Q38" s="298"/>
      <c r="R38" s="383"/>
      <c r="S38" s="1282"/>
      <c r="T38" s="370"/>
      <c r="U38" s="1251"/>
      <c r="V38" s="2259"/>
      <c r="W38" s="2259"/>
      <c r="X38" s="2259"/>
      <c r="Y38" s="2259"/>
      <c r="Z38" s="2259"/>
      <c r="AA38" s="2259"/>
      <c r="AB38" s="2259"/>
      <c r="AC38" s="2259"/>
      <c r="AD38" s="2259"/>
      <c r="AE38" s="2259"/>
      <c r="AF38" s="2259"/>
      <c r="AG38" s="2259"/>
      <c r="AH38" s="2259"/>
      <c r="AI38" s="2259"/>
      <c r="AJ38" s="2259"/>
      <c r="AK38" s="2259"/>
      <c r="AL38" s="2259"/>
      <c r="AM38" s="2259"/>
      <c r="AN38" s="2259"/>
      <c r="AO38" s="2259"/>
      <c r="AP38" s="2259"/>
      <c r="AQ38" s="2259"/>
      <c r="AR38" s="2259"/>
      <c r="AS38" s="2259"/>
      <c r="BA38" s="1162">
        <v>14</v>
      </c>
    </row>
    <row customHeight="1" ht="14.699999999999998">
      <c r="Q39" s="298"/>
      <c r="R39" s="383"/>
      <c r="S39" s="2134" t="s">
        <v>463</v>
      </c>
      <c r="T39" s="2134"/>
      <c r="U39" s="2134"/>
      <c r="V39" s="2134"/>
      <c r="W39" s="2134"/>
      <c r="X39" s="2134"/>
      <c r="Y39" s="2134"/>
      <c r="Z39" s="2134"/>
      <c r="AA39" s="2134"/>
      <c r="AB39" s="2182"/>
      <c r="AC39" s="2182"/>
      <c r="AD39" s="2182"/>
      <c r="AE39" s="2182"/>
      <c r="AF39" s="2134"/>
      <c r="AG39" s="2134"/>
      <c r="AH39" s="2134"/>
      <c r="AI39" s="2134"/>
      <c r="AJ39" s="2134"/>
      <c r="AK39" s="2134"/>
      <c r="AL39" s="2134"/>
      <c r="AM39" s="2134"/>
      <c r="AN39" s="2134"/>
      <c r="AO39" s="2134"/>
      <c r="AP39" s="2134"/>
      <c r="AQ39" s="2134"/>
      <c r="AR39" s="2134"/>
      <c r="AS39" s="2134"/>
      <c r="AT39" s="2134"/>
      <c r="AU39" s="2134" t="s">
        <v>464</v>
      </c>
      <c r="BA39" s="1162">
        <v>14</v>
      </c>
    </row>
    <row customHeight="1" ht="14.699999999999998">
      <c r="Q40" s="298"/>
      <c r="R40" s="383"/>
      <c r="S40" s="2280" t="s">
        <v>88</v>
      </c>
      <c r="T40" s="2216" t="s">
        <v>633</v>
      </c>
      <c r="U40" s="308"/>
      <c r="V40" s="2282"/>
      <c r="W40" s="2282"/>
      <c r="X40" s="2282"/>
      <c r="Y40" s="2282"/>
      <c r="Z40" s="2283"/>
      <c r="AA40" s="2343" t="s">
        <v>591</v>
      </c>
      <c r="AB40" s="2335" t="s">
        <v>634</v>
      </c>
      <c r="AC40" s="2298"/>
      <c r="AD40" s="2298"/>
      <c r="AE40" s="2336"/>
      <c r="AF40" s="2298" t="s">
        <v>635</v>
      </c>
      <c r="AG40" s="2298"/>
      <c r="AH40" s="2298"/>
      <c r="AI40" s="2336"/>
      <c r="AJ40" s="2335" t="s">
        <v>636</v>
      </c>
      <c r="AK40" s="2298"/>
      <c r="AL40" s="2298"/>
      <c r="AM40" s="2336"/>
      <c r="AN40" s="2335" t="s">
        <v>590</v>
      </c>
      <c r="AO40" s="2298"/>
      <c r="AP40" s="2282"/>
      <c r="AQ40" s="2282"/>
      <c r="AR40" s="2283"/>
      <c r="AS40" s="2284" t="s">
        <v>591</v>
      </c>
      <c r="AT40" s="2287" t="s">
        <v>593</v>
      </c>
      <c r="AU40" s="2134"/>
      <c r="BA40" s="1162">
        <v>14</v>
      </c>
    </row>
    <row customHeight="1" ht="35.699999999999996">
      <c r="Q41" s="298"/>
      <c r="R41" s="383"/>
      <c r="S41" s="2280"/>
      <c r="T41" s="2216"/>
      <c r="U41" s="1038"/>
      <c r="V41" s="2134" t="s">
        <v>637</v>
      </c>
      <c r="W41" s="2134"/>
      <c r="X41" s="2301" t="s">
        <v>597</v>
      </c>
      <c r="Y41" s="2320"/>
      <c r="Z41" s="2321"/>
      <c r="AA41" s="2344"/>
      <c r="AB41" s="2337"/>
      <c r="AC41" s="2338"/>
      <c r="AD41" s="2338"/>
      <c r="AE41" s="2339"/>
      <c r="AF41" s="2338"/>
      <c r="AG41" s="2338"/>
      <c r="AH41" s="2338"/>
      <c r="AI41" s="2339"/>
      <c r="AJ41" s="2337"/>
      <c r="AK41" s="2338"/>
      <c r="AL41" s="2338"/>
      <c r="AM41" s="2338"/>
      <c r="AN41" s="2134" t="s">
        <v>637</v>
      </c>
      <c r="AO41" s="2134"/>
      <c r="AP41" s="2320" t="s">
        <v>597</v>
      </c>
      <c r="AQ41" s="2320"/>
      <c r="AR41" s="2321"/>
      <c r="AS41" s="2285"/>
      <c r="AT41" s="2288"/>
      <c r="AU41" s="2134"/>
      <c r="BA41" s="1162">
        <v>34</v>
      </c>
    </row>
    <row customHeight="1" ht="14.699999999999998">
      <c r="Q42" s="298"/>
      <c r="R42" s="383"/>
      <c r="S42" s="2280"/>
      <c r="T42" s="2216"/>
      <c r="U42" s="1038"/>
      <c r="V42" s="2347" t="str">
        <f>IF($AN$42&lt;&gt;"",$AN$42,"")</f>
        <v/>
      </c>
      <c r="W42" s="2347"/>
      <c r="X42" s="2302"/>
      <c r="Y42" s="2322"/>
      <c r="Z42" s="2323"/>
      <c r="AA42" s="2344"/>
      <c r="AB42" s="2337"/>
      <c r="AC42" s="2338"/>
      <c r="AD42" s="2338"/>
      <c r="AE42" s="2339"/>
      <c r="AF42" s="2338"/>
      <c r="AG42" s="2338"/>
      <c r="AH42" s="2338"/>
      <c r="AI42" s="2339"/>
      <c r="AJ42" s="2337"/>
      <c r="AK42" s="2338"/>
      <c r="AL42" s="2338"/>
      <c r="AM42" s="2338"/>
      <c r="AN42" s="2346"/>
      <c r="AO42" s="2346"/>
      <c r="AP42" s="2322"/>
      <c r="AQ42" s="2322"/>
      <c r="AR42" s="2323"/>
      <c r="AS42" s="2285"/>
      <c r="AT42" s="2288"/>
      <c r="AU42" s="2134"/>
      <c r="BA42" s="1162">
        <v>14</v>
      </c>
    </row>
    <row customHeight="1" ht="14.699999999999998">
      <c r="A43" s="1377"/>
      <c r="B43" s="1377" t="s">
        <v>227</v>
      </c>
      <c r="C43" s="1377" t="s">
        <v>228</v>
      </c>
      <c r="D43" s="1377" t="s">
        <v>229</v>
      </c>
      <c r="E43" s="1371" t="s">
        <v>598</v>
      </c>
      <c r="F43" s="1371" t="s">
        <v>599</v>
      </c>
      <c r="G43" s="1371" t="s">
        <v>600</v>
      </c>
      <c r="H43" s="1371" t="s">
        <v>601</v>
      </c>
      <c r="I43" s="1371" t="s">
        <v>602</v>
      </c>
      <c r="J43" s="1371" t="s">
        <v>603</v>
      </c>
      <c r="K43" s="1371" t="s">
        <v>604</v>
      </c>
      <c r="L43" s="1371" t="s">
        <v>579</v>
      </c>
      <c r="Q43" s="298"/>
      <c r="R43" s="383"/>
      <c r="S43" s="2280"/>
      <c r="T43" s="2216"/>
      <c r="U43" s="309"/>
      <c r="V43" s="1337" t="s">
        <v>638</v>
      </c>
      <c r="W43" s="1337" t="s">
        <v>639</v>
      </c>
      <c r="X43" s="1345" t="s">
        <v>607</v>
      </c>
      <c r="Y43" s="2277" t="s">
        <v>608</v>
      </c>
      <c r="Z43" s="2278"/>
      <c r="AA43" s="2345"/>
      <c r="AB43" s="2340"/>
      <c r="AC43" s="2341"/>
      <c r="AD43" s="2341"/>
      <c r="AE43" s="2342"/>
      <c r="AF43" s="2341"/>
      <c r="AG43" s="2341"/>
      <c r="AH43" s="2341"/>
      <c r="AI43" s="2342"/>
      <c r="AJ43" s="2340"/>
      <c r="AK43" s="2341"/>
      <c r="AL43" s="2341"/>
      <c r="AM43" s="2342"/>
      <c r="AN43" s="1867" t="s">
        <v>638</v>
      </c>
      <c r="AO43" s="1867" t="s">
        <v>639</v>
      </c>
      <c r="AP43" s="1345" t="s">
        <v>607</v>
      </c>
      <c r="AQ43" s="2277" t="s">
        <v>608</v>
      </c>
      <c r="AR43" s="2278"/>
      <c r="AS43" s="2286"/>
      <c r="AT43" s="2289"/>
      <c r="AU43" s="2134"/>
      <c r="BA43" s="1162">
        <v>14</v>
      </c>
    </row>
    <row s="1648" customFormat="1" customHeight="1" ht="11.25" hidden="1">
      <c r="A44" s="1377"/>
      <c r="B44" s="1377"/>
      <c r="C44" s="1377"/>
      <c r="D44" s="1377"/>
      <c r="E44" s="1377"/>
      <c r="F44" s="1377"/>
      <c r="G44" s="1377"/>
      <c r="H44" s="1377"/>
      <c r="I44" s="1377"/>
      <c r="J44" s="1377"/>
      <c r="K44" s="1377"/>
      <c r="L44" s="1371"/>
      <c r="M44" s="1369"/>
      <c r="N44" s="1369"/>
      <c r="O44" s="1369"/>
      <c r="P44" s="517"/>
      <c r="Q44" s="1261"/>
      <c r="R44" s="1261">
        <v>1</v>
      </c>
      <c r="S44" s="1284" t="s">
        <v>108</v>
      </c>
      <c r="T44" s="1262" t="s">
        <v>99</v>
      </c>
      <c r="U44" s="1252" t="str">
        <f>OFFSET(U44,0,-1)</f>
        <v>2</v>
      </c>
      <c r="V44" s="1342">
        <f>OFFSET(V44,0,-1)+1</f>
        <v>3</v>
      </c>
      <c r="W44" s="1342">
        <f>OFFSET(W44,0,-1)+1</f>
        <v>4</v>
      </c>
      <c r="X44" s="1342">
        <f>OFFSET(X44,0,-1)+1</f>
        <v>5</v>
      </c>
      <c r="Y44" s="2279">
        <f>OFFSET(Y44,0,-1)+1</f>
        <v>6</v>
      </c>
      <c r="Z44" s="2279"/>
      <c r="AA44" s="1342">
        <f>OFFSET(AA44,0,-2)+1</f>
        <v>7</v>
      </c>
      <c r="AB44" s="1348">
        <f>OFFSET(AB44,0,-1)+1</f>
        <v>8</v>
      </c>
      <c r="AC44" s="1348"/>
      <c r="AD44" s="1348"/>
      <c r="AE44" s="1348"/>
      <c r="AF44" s="1342"/>
      <c r="AG44" s="1342"/>
      <c r="AH44" s="1342"/>
      <c r="AI44" s="1342"/>
      <c r="AJ44" s="1342"/>
      <c r="AK44" s="1342"/>
      <c r="AL44" s="1342"/>
      <c r="AM44" s="1342"/>
      <c r="AN44" s="1342">
        <f>OFFSET(AN44,0,-1)+1</f>
        <v>1</v>
      </c>
      <c r="AO44" s="1342">
        <f>OFFSET(AO44,0,-1)+1</f>
        <v>2</v>
      </c>
      <c r="AP44" s="1342">
        <f>OFFSET(AP44,0,-1)+1</f>
        <v>3</v>
      </c>
      <c r="AQ44" s="2279">
        <f>OFFSET(AQ44,0,-1)+1</f>
        <v>4</v>
      </c>
      <c r="AR44" s="2279"/>
      <c r="AS44" s="1342">
        <f>OFFSET(AS44,0,-2)+1</f>
        <v>5</v>
      </c>
      <c r="AT44" s="1252">
        <f>OFFSET(AT44,0,-1)</f>
        <v>5</v>
      </c>
      <c r="AU44" s="1342">
        <f>OFFSET(AU44,0,-1)+1</f>
        <v>6</v>
      </c>
      <c r="AV44" s="518"/>
      <c r="AW44" s="518"/>
      <c r="AX44" s="518"/>
      <c r="AY44" s="518"/>
      <c r="AZ44" s="518"/>
      <c r="BA44" s="503">
        <v>0</v>
      </c>
    </row>
    <row customHeight="1" ht="107.25">
      <c r="A45" s="1370" t="s">
        <v>284</v>
      </c>
      <c r="B45" s="1370"/>
      <c r="C45" s="1370"/>
      <c r="D45" s="1370"/>
      <c r="E45" s="2265">
        <v>1</v>
      </c>
      <c r="F45" s="1370"/>
      <c r="G45" s="1370"/>
      <c r="H45" s="1370"/>
      <c r="I45" s="1370"/>
      <c r="J45" s="1370"/>
      <c r="K45" s="1370"/>
      <c r="L45" s="1371"/>
      <c r="M45" s="1372"/>
      <c r="N45" s="1372"/>
      <c r="O45" s="1372"/>
      <c r="P45" s="1416"/>
      <c r="Q45" s="880"/>
      <c r="R45" s="362"/>
      <c r="S45" s="1343">
        <f>INDEX(PT_DIFFERENTIATION_NUM_NTAR,MATCH(A45,PT_DIFFERENTIATION_NTAR_ID,0))</f>
        <v>0</v>
      </c>
      <c r="T45" s="305" t="s">
        <v>215</v>
      </c>
      <c r="U45" s="307"/>
      <c r="V45" s="2250"/>
      <c r="W45" s="2250"/>
      <c r="X45" s="2250"/>
      <c r="Y45" s="2250"/>
      <c r="Z45" s="2250"/>
      <c r="AA45" s="2251"/>
      <c r="AB45" s="2249" t="str">
        <f>INDEX(PT_DIFFERENTIATION_NTAR,MATCH(A45,PT_DIFFERENTIATION_NTAR_ID,0))</f>
        <v/>
      </c>
      <c r="AC45" s="2250"/>
      <c r="AD45" s="2250"/>
      <c r="AE45" s="2250"/>
      <c r="AF45" s="2250"/>
      <c r="AG45" s="2250"/>
      <c r="AH45" s="2250"/>
      <c r="AI45" s="2250"/>
      <c r="AJ45" s="2250"/>
      <c r="AK45" s="2250"/>
      <c r="AL45" s="2250"/>
      <c r="AM45" s="2250"/>
      <c r="AN45" s="2250"/>
      <c r="AO45" s="2250"/>
      <c r="AP45" s="2250"/>
      <c r="AQ45" s="2250"/>
      <c r="AR45" s="2250"/>
      <c r="AS45" s="2250"/>
      <c r="AT45" s="2251"/>
      <c r="AU45" s="126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7"/>
      <c r="AX45" s="507" t="str">
        <f>IF(T45="","",T45)</f>
        <v>Наименование тарифа</v>
      </c>
      <c r="AY45" s="507"/>
      <c r="AZ45" s="507"/>
      <c r="BA45" s="1162">
        <v>102</v>
      </c>
    </row>
    <row customHeight="1" ht="22.049999999999997">
      <c r="A46" s="1370" t="s">
        <v>284</v>
      </c>
      <c r="B46" s="1370" t="s">
        <v>285</v>
      </c>
      <c r="C46" s="1370"/>
      <c r="D46" s="1370"/>
      <c r="E46" s="2266"/>
      <c r="F46" s="2265">
        <v>1</v>
      </c>
      <c r="G46" s="1370"/>
      <c r="H46" s="1370"/>
      <c r="I46" s="1370"/>
      <c r="J46" s="1370"/>
      <c r="K46" s="1370"/>
      <c r="L46" s="1371"/>
      <c r="M46" s="1372"/>
      <c r="N46" s="1372"/>
      <c r="O46" s="1372"/>
      <c r="P46" s="1417"/>
      <c r="Q46" s="1418"/>
      <c r="R46" s="360"/>
      <c r="S46" s="1343" t="str">
        <f>INDEX(PT_DIFFERENTIATION_NUM_TER,MATCH(B46,PT_DIFFERENTIATION_TER_ID,0))</f>
        <v>.</v>
      </c>
      <c r="T46" s="315" t="s">
        <v>560</v>
      </c>
      <c r="U46" s="307"/>
      <c r="V46" s="2250"/>
      <c r="W46" s="2250"/>
      <c r="X46" s="2250"/>
      <c r="Y46" s="2250"/>
      <c r="Z46" s="2250"/>
      <c r="AA46" s="2251"/>
      <c r="AB46" s="2249" t="str">
        <f>INDEX(PT_DIFFERENTIATION_TER,MATCH(B46,PT_DIFFERENTIATION_TER_ID,0))</f>
        <v/>
      </c>
      <c r="AC46" s="2250"/>
      <c r="AD46" s="2250"/>
      <c r="AE46" s="2250"/>
      <c r="AF46" s="2250"/>
      <c r="AG46" s="2250"/>
      <c r="AH46" s="2250"/>
      <c r="AI46" s="2250"/>
      <c r="AJ46" s="2250"/>
      <c r="AK46" s="2250"/>
      <c r="AL46" s="2250"/>
      <c r="AM46" s="2250"/>
      <c r="AN46" s="2250"/>
      <c r="AO46" s="2250"/>
      <c r="AP46" s="2250"/>
      <c r="AQ46" s="2250"/>
      <c r="AR46" s="2250"/>
      <c r="AS46" s="2250"/>
      <c r="AT46" s="2251"/>
      <c r="AU46" s="1265" t="s">
        <v>561</v>
      </c>
      <c r="AW46" s="507"/>
      <c r="AX46" s="507" t="str">
        <f>IF(T46="","",T46)</f>
        <v>Территория действия тарифа</v>
      </c>
      <c r="AY46" s="507"/>
      <c r="AZ46" s="507"/>
      <c r="BA46" s="1162">
        <v>21</v>
      </c>
    </row>
    <row customHeight="1" ht="24">
      <c r="A47" s="1370" t="s">
        <v>284</v>
      </c>
      <c r="B47" s="1370" t="s">
        <v>285</v>
      </c>
      <c r="C47" s="1370" t="s">
        <v>286</v>
      </c>
      <c r="D47" s="1370"/>
      <c r="E47" s="2266"/>
      <c r="F47" s="2266"/>
      <c r="G47" s="2265">
        <v>1</v>
      </c>
      <c r="H47" s="1370"/>
      <c r="I47" s="1370"/>
      <c r="J47" s="1370"/>
      <c r="K47" s="1370"/>
      <c r="L47" s="1371"/>
      <c r="M47" s="1372"/>
      <c r="N47" s="1372"/>
      <c r="O47" s="1372"/>
      <c r="P47" s="1419"/>
      <c r="Q47" s="1418"/>
      <c r="R47" s="360"/>
      <c r="S47" s="1343" t="str">
        <f>INDEX(PT_DIFFERENTIATION_NUM_CS,MATCH(C47,PT_DIFFERENTIATION_CS_ID,0))</f>
        <v>..</v>
      </c>
      <c r="T47" s="316" t="s">
        <v>562</v>
      </c>
      <c r="U47" s="307"/>
      <c r="V47" s="2250"/>
      <c r="W47" s="2250"/>
      <c r="X47" s="2250"/>
      <c r="Y47" s="2250"/>
      <c r="Z47" s="2250"/>
      <c r="AA47" s="2251"/>
      <c r="AB47" s="2249" t="str">
        <f>INDEX(PT_DIFFERENTIATION_CS,MATCH(C47,PT_DIFFERENTIATION_CS_ID,0))</f>
        <v/>
      </c>
      <c r="AC47" s="2250"/>
      <c r="AD47" s="2250"/>
      <c r="AE47" s="2250"/>
      <c r="AF47" s="2250"/>
      <c r="AG47" s="2250"/>
      <c r="AH47" s="2250"/>
      <c r="AI47" s="2250"/>
      <c r="AJ47" s="2250"/>
      <c r="AK47" s="2250"/>
      <c r="AL47" s="2250"/>
      <c r="AM47" s="2250"/>
      <c r="AN47" s="2250"/>
      <c r="AO47" s="2250"/>
      <c r="AP47" s="2250"/>
      <c r="AQ47" s="2250"/>
      <c r="AR47" s="2250"/>
      <c r="AS47" s="2250"/>
      <c r="AT47" s="2251"/>
      <c r="AU47" s="1265" t="s">
        <v>563</v>
      </c>
      <c r="AW47" s="507"/>
      <c r="AX47" s="507" t="str">
        <f>IF(T47="","",T47)</f>
        <v>Наименование системы теплоснабжения </v>
      </c>
      <c r="AY47" s="507"/>
      <c r="AZ47" s="507"/>
      <c r="BA47" s="1162">
        <v>23</v>
      </c>
    </row>
    <row customHeight="1" ht="21">
      <c r="A48" s="1370" t="s">
        <v>284</v>
      </c>
      <c r="B48" s="1370" t="s">
        <v>285</v>
      </c>
      <c r="C48" s="1370" t="s">
        <v>286</v>
      </c>
      <c r="D48" s="1370" t="s">
        <v>287</v>
      </c>
      <c r="E48" s="2266"/>
      <c r="F48" s="2266"/>
      <c r="G48" s="2266"/>
      <c r="H48" s="2265">
        <v>1</v>
      </c>
      <c r="I48" s="1370"/>
      <c r="J48" s="1370"/>
      <c r="K48" s="1370"/>
      <c r="L48" s="1371"/>
      <c r="M48" s="1372"/>
      <c r="N48" s="1372"/>
      <c r="O48" s="1372"/>
      <c r="P48" s="1419"/>
      <c r="Q48" s="1418"/>
      <c r="R48" s="360"/>
      <c r="S48" s="1343" t="str">
        <f>INDEX(PT_DIFFERENTIATION_NUM_IST_TE,MATCH(D48,PT_DIFFERENTIATION_IST_TE_ID,0))</f>
        <v>...</v>
      </c>
      <c r="T48" s="317" t="s">
        <v>564</v>
      </c>
      <c r="U48" s="307"/>
      <c r="V48" s="2250"/>
      <c r="W48" s="2250"/>
      <c r="X48" s="2250"/>
      <c r="Y48" s="2250"/>
      <c r="Z48" s="2250"/>
      <c r="AA48" s="2251"/>
      <c r="AB48" s="2249" t="str">
        <f>INDEX(PT_DIFFERENTIATION_IST_TE,MATCH(D48,PT_DIFFERENTIATION_IST_TE_ID,0))</f>
        <v/>
      </c>
      <c r="AC48" s="2250"/>
      <c r="AD48" s="2250"/>
      <c r="AE48" s="2250"/>
      <c r="AF48" s="2250"/>
      <c r="AG48" s="2250"/>
      <c r="AH48" s="2250"/>
      <c r="AI48" s="2250"/>
      <c r="AJ48" s="2250"/>
      <c r="AK48" s="2250"/>
      <c r="AL48" s="2250"/>
      <c r="AM48" s="2250"/>
      <c r="AN48" s="2250"/>
      <c r="AO48" s="2250"/>
      <c r="AP48" s="2250"/>
      <c r="AQ48" s="2250"/>
      <c r="AR48" s="2250"/>
      <c r="AS48" s="2250"/>
      <c r="AT48" s="2251"/>
      <c r="AU48" s="1265" t="s">
        <v>565</v>
      </c>
      <c r="AW48" s="507"/>
      <c r="AX48" s="507" t="str">
        <f>IF(T48="","",T48)</f>
        <v>Источник тепловой энергии  </v>
      </c>
      <c r="AY48" s="507"/>
      <c r="AZ48" s="507"/>
      <c r="BA48" s="1162">
        <v>20</v>
      </c>
    </row>
    <row s="1649" customFormat="1" customHeight="1" ht="1.05">
      <c r="A49" s="1350" t="s">
        <v>284</v>
      </c>
      <c r="B49" s="1350" t="s">
        <v>285</v>
      </c>
      <c r="C49" s="1350" t="s">
        <v>286</v>
      </c>
      <c r="D49" s="1350" t="s">
        <v>287</v>
      </c>
      <c r="E49" s="2266"/>
      <c r="F49" s="2266"/>
      <c r="G49" s="2266"/>
      <c r="H49" s="2266"/>
      <c r="I49" s="2263" t="str">
        <f>S48&amp;".1"</f>
        <v>....1</v>
      </c>
      <c r="J49" s="1350"/>
      <c r="K49" s="1350"/>
      <c r="L49" s="1353" t="s">
        <v>566</v>
      </c>
      <c r="M49" s="517"/>
      <c r="N49" s="517"/>
      <c r="O49" s="517"/>
      <c r="P49" s="2264">
        <v>1</v>
      </c>
      <c r="Q49" s="1338"/>
      <c r="R49" s="363"/>
      <c r="S49" s="1049"/>
      <c r="T49" s="1390"/>
      <c r="U49" s="1391"/>
      <c r="V49" s="2304"/>
      <c r="W49" s="2304"/>
      <c r="X49" s="2304"/>
      <c r="Y49" s="2304"/>
      <c r="Z49" s="2304"/>
      <c r="AA49" s="2305"/>
      <c r="AB49" s="2303"/>
      <c r="AC49" s="2304"/>
      <c r="AD49" s="2304"/>
      <c r="AE49" s="2304"/>
      <c r="AF49" s="2304"/>
      <c r="AG49" s="2304"/>
      <c r="AH49" s="2304"/>
      <c r="AI49" s="2304"/>
      <c r="AJ49" s="2304"/>
      <c r="AK49" s="2304"/>
      <c r="AL49" s="2304"/>
      <c r="AM49" s="2304"/>
      <c r="AN49" s="2304"/>
      <c r="AO49" s="2304"/>
      <c r="AP49" s="2304"/>
      <c r="AQ49" s="2304"/>
      <c r="AR49" s="2304"/>
      <c r="AS49" s="2304"/>
      <c r="AT49" s="2305"/>
      <c r="AU49" s="1392"/>
      <c r="AW49" s="507"/>
      <c r="AX49" s="507" t="str">
        <f>IF(T49="","",T49)</f>
        <v/>
      </c>
      <c r="AY49" s="507"/>
      <c r="AZ49" s="507"/>
      <c r="BA49" s="518">
        <v>1</v>
      </c>
    </row>
    <row s="1649" customFormat="1" customHeight="1" ht="1.05">
      <c r="A50" s="1350" t="s">
        <v>284</v>
      </c>
      <c r="B50" s="1350" t="s">
        <v>285</v>
      </c>
      <c r="C50" s="1350" t="s">
        <v>286</v>
      </c>
      <c r="D50" s="1350" t="s">
        <v>287</v>
      </c>
      <c r="E50" s="2266"/>
      <c r="F50" s="2266"/>
      <c r="G50" s="2266"/>
      <c r="H50" s="2266"/>
      <c r="I50" s="2293"/>
      <c r="J50" s="2263" t="str">
        <f>S48&amp;".1"</f>
        <v>....1</v>
      </c>
      <c r="K50" s="1350"/>
      <c r="L50" s="1353"/>
      <c r="M50" s="517"/>
      <c r="N50" s="517"/>
      <c r="O50" s="517"/>
      <c r="P50" s="2264"/>
      <c r="Q50" s="2264">
        <v>1</v>
      </c>
      <c r="R50" s="364"/>
      <c r="S50" s="1049"/>
      <c r="T50" s="1406"/>
      <c r="U50" s="1391"/>
      <c r="V50" s="2304"/>
      <c r="W50" s="2304"/>
      <c r="X50" s="2304"/>
      <c r="Y50" s="2304"/>
      <c r="Z50" s="2304"/>
      <c r="AA50" s="2305"/>
      <c r="AB50" s="2303"/>
      <c r="AC50" s="2304"/>
      <c r="AD50" s="2304"/>
      <c r="AE50" s="2304"/>
      <c r="AF50" s="2304"/>
      <c r="AG50" s="2304"/>
      <c r="AH50" s="2304"/>
      <c r="AI50" s="2304"/>
      <c r="AJ50" s="2304"/>
      <c r="AK50" s="2304"/>
      <c r="AL50" s="2304"/>
      <c r="AM50" s="2304"/>
      <c r="AN50" s="2304"/>
      <c r="AO50" s="2304"/>
      <c r="AP50" s="2304"/>
      <c r="AQ50" s="2304"/>
      <c r="AR50" s="2304"/>
      <c r="AS50" s="2304"/>
      <c r="AT50" s="2305"/>
      <c r="AU50" s="1392"/>
      <c r="AW50" s="507"/>
      <c r="AX50" s="507" t="str">
        <f>IF(T50="","",T50)</f>
        <v/>
      </c>
      <c r="AY50" s="507"/>
      <c r="AZ50" s="507"/>
      <c r="BA50" s="518">
        <v>1</v>
      </c>
    </row>
    <row customHeight="1" ht="22.049999999999997">
      <c r="A51" s="1370" t="s">
        <v>284</v>
      </c>
      <c r="B51" s="1370" t="s">
        <v>285</v>
      </c>
      <c r="C51" s="1370" t="s">
        <v>286</v>
      </c>
      <c r="D51" s="1370" t="s">
        <v>287</v>
      </c>
      <c r="E51" s="2266"/>
      <c r="F51" s="2266"/>
      <c r="G51" s="2266"/>
      <c r="H51" s="2266"/>
      <c r="I51" s="2293"/>
      <c r="J51" s="2293"/>
      <c r="K51" s="2263" t="str">
        <f>S48&amp;".1"</f>
        <v>....1</v>
      </c>
      <c r="L51" s="1371"/>
      <c r="P51" s="2264"/>
      <c r="Q51" s="2264"/>
      <c r="R51" s="364">
        <v>1</v>
      </c>
      <c r="S51" s="2348" t="str">
        <f>$K51</f>
        <v>....1</v>
      </c>
      <c r="T51" s="2351"/>
      <c r="U51" s="307"/>
      <c r="V51" s="758"/>
      <c r="W51" s="1264"/>
      <c r="X51" s="1741"/>
      <c r="Y51" s="1466" t="s">
        <v>66</v>
      </c>
      <c r="Z51" s="1741"/>
      <c r="AA51" s="1466" t="s">
        <v>66</v>
      </c>
      <c r="AB51" s="2114" t="s">
        <v>19</v>
      </c>
      <c r="AC51" s="2333"/>
      <c r="AD51" s="2212">
        <v>1</v>
      </c>
      <c r="AE51" s="2355" t="s">
        <v>28</v>
      </c>
      <c r="AF51" s="2114" t="s">
        <v>19</v>
      </c>
      <c r="AG51" s="2333"/>
      <c r="AH51" s="2212">
        <v>1</v>
      </c>
      <c r="AI51" s="2355" t="s">
        <v>28</v>
      </c>
      <c r="AJ51" s="2114" t="s">
        <v>19</v>
      </c>
      <c r="AK51" s="318"/>
      <c r="AL51" s="1344">
        <v>1</v>
      </c>
      <c r="AM51" s="1409"/>
      <c r="AN51" s="758"/>
      <c r="AO51" s="1264"/>
      <c r="AP51" s="1741"/>
      <c r="AQ51" s="1466" t="s">
        <v>66</v>
      </c>
      <c r="AR51" s="1741"/>
      <c r="AS51" s="1466" t="s">
        <v>66</v>
      </c>
      <c r="AT51" s="1355"/>
      <c r="AU51" s="2260" t="s">
        <v>640</v>
      </c>
      <c r="AV51" s="518">
        <f>STRCHECKDATE(V54:AT54)</f>
      </c>
      <c r="AW51" s="507"/>
      <c r="AX51" s="507" t="str">
        <f>IF(T51="","",T51)</f>
        <v/>
      </c>
      <c r="AY51" s="507"/>
      <c r="AZ51" s="507"/>
      <c r="BA51" s="1162">
        <v>21</v>
      </c>
    </row>
    <row customHeight="1" ht="11.549999999999999">
      <c r="A52" s="1370" t="s">
        <v>284</v>
      </c>
      <c r="B52" s="1370"/>
      <c r="C52" s="1370"/>
      <c r="D52" s="1370"/>
      <c r="E52" s="2266"/>
      <c r="F52" s="2266"/>
      <c r="G52" s="2266"/>
      <c r="H52" s="2266"/>
      <c r="I52" s="2293"/>
      <c r="J52" s="2293"/>
      <c r="K52" s="2263"/>
      <c r="L52" s="1371"/>
      <c r="P52" s="2264"/>
      <c r="Q52" s="2264"/>
      <c r="R52" s="364"/>
      <c r="S52" s="2349"/>
      <c r="T52" s="2352"/>
      <c r="U52" s="307"/>
      <c r="V52" s="1400"/>
      <c r="W52" s="1503"/>
      <c r="X52" s="1400"/>
      <c r="Y52" s="1400"/>
      <c r="Z52" s="1400"/>
      <c r="AA52" s="1400"/>
      <c r="AB52" s="2114"/>
      <c r="AC52" s="2333"/>
      <c r="AD52" s="2212"/>
      <c r="AE52" s="2355"/>
      <c r="AF52" s="2114"/>
      <c r="AG52" s="2333"/>
      <c r="AH52" s="2212"/>
      <c r="AI52" s="2355"/>
      <c r="AJ52" s="2114"/>
      <c r="AK52" s="323"/>
      <c r="AL52" s="423"/>
      <c r="AM52" s="422" t="s">
        <v>625</v>
      </c>
      <c r="AN52" s="1400"/>
      <c r="AO52" s="1503"/>
      <c r="AP52" s="1400"/>
      <c r="AQ52" s="1400"/>
      <c r="AR52" s="1400"/>
      <c r="AS52" s="1400"/>
      <c r="AT52" s="1397"/>
      <c r="AU52" s="2261"/>
      <c r="AW52" s="507"/>
      <c r="AX52" s="507"/>
      <c r="AY52" s="507"/>
      <c r="AZ52" s="507"/>
      <c r="BA52" s="1162">
        <v>11</v>
      </c>
    </row>
    <row customHeight="1" ht="11.549999999999999">
      <c r="A53" s="1370" t="s">
        <v>284</v>
      </c>
      <c r="B53" s="1370"/>
      <c r="C53" s="1370"/>
      <c r="D53" s="1370"/>
      <c r="E53" s="2266"/>
      <c r="F53" s="2266"/>
      <c r="G53" s="2266"/>
      <c r="H53" s="2266"/>
      <c r="I53" s="2293"/>
      <c r="J53" s="2293"/>
      <c r="K53" s="2263"/>
      <c r="L53" s="1371"/>
      <c r="P53" s="2264"/>
      <c r="Q53" s="2264"/>
      <c r="R53" s="364"/>
      <c r="S53" s="2349"/>
      <c r="T53" s="2352"/>
      <c r="U53" s="307"/>
      <c r="V53" s="1400"/>
      <c r="W53" s="1503"/>
      <c r="X53" s="1400"/>
      <c r="Y53" s="1400"/>
      <c r="Z53" s="1400"/>
      <c r="AA53" s="1400"/>
      <c r="AB53" s="2114"/>
      <c r="AC53" s="2333"/>
      <c r="AD53" s="2212"/>
      <c r="AE53" s="2355"/>
      <c r="AF53" s="2114"/>
      <c r="AG53" s="301"/>
      <c r="AH53" s="422"/>
      <c r="AI53" s="422" t="s">
        <v>626</v>
      </c>
      <c r="AJ53" s="1400"/>
      <c r="AK53" s="1400"/>
      <c r="AL53" s="1400"/>
      <c r="AM53" s="1400"/>
      <c r="AN53" s="1400"/>
      <c r="AO53" s="1503"/>
      <c r="AP53" s="1400"/>
      <c r="AQ53" s="1400"/>
      <c r="AR53" s="1400"/>
      <c r="AS53" s="1400"/>
      <c r="AT53" s="1397"/>
      <c r="AU53" s="2261"/>
      <c r="AW53" s="507"/>
      <c r="AX53" s="507"/>
      <c r="AY53" s="507"/>
      <c r="AZ53" s="507"/>
      <c r="BA53" s="1162">
        <v>11</v>
      </c>
    </row>
    <row customHeight="1" ht="11.549999999999999">
      <c r="A54" s="1370" t="s">
        <v>284</v>
      </c>
      <c r="B54" s="1370" t="s">
        <v>285</v>
      </c>
      <c r="C54" s="1370" t="s">
        <v>286</v>
      </c>
      <c r="D54" s="1370" t="s">
        <v>287</v>
      </c>
      <c r="E54" s="2266"/>
      <c r="F54" s="2266"/>
      <c r="G54" s="2266"/>
      <c r="H54" s="2266"/>
      <c r="I54" s="2293"/>
      <c r="J54" s="2293"/>
      <c r="K54" s="2263"/>
      <c r="L54" s="1371"/>
      <c r="P54" s="2264"/>
      <c r="Q54" s="2264"/>
      <c r="R54" s="364"/>
      <c r="S54" s="2350"/>
      <c r="T54" s="2353"/>
      <c r="U54" s="307"/>
      <c r="V54" s="1400"/>
      <c r="W54" s="1401" t="str">
        <f>X51&amp;"-"&amp;Z51</f>
        <v>-</v>
      </c>
      <c r="X54" s="1400"/>
      <c r="Y54" s="1400"/>
      <c r="Z54" s="1400"/>
      <c r="AA54" s="1400"/>
      <c r="AB54" s="2114"/>
      <c r="AC54" s="319"/>
      <c r="AD54" s="321"/>
      <c r="AE54" s="422" t="s">
        <v>627</v>
      </c>
      <c r="AF54" s="1400"/>
      <c r="AG54" s="1400"/>
      <c r="AH54" s="1400"/>
      <c r="AI54" s="1400"/>
      <c r="AJ54" s="1400"/>
      <c r="AK54" s="1400"/>
      <c r="AL54" s="1400"/>
      <c r="AM54" s="1400"/>
      <c r="AN54" s="1400"/>
      <c r="AO54" s="1401" t="str">
        <f>AP51&amp;"-"&amp;AR51</f>
        <v>-</v>
      </c>
      <c r="AP54" s="1400"/>
      <c r="AQ54" s="1400"/>
      <c r="AR54" s="1400"/>
      <c r="AS54" s="1400"/>
      <c r="AT54" s="1356"/>
      <c r="AU54" s="2261"/>
      <c r="AW54" s="507"/>
      <c r="AX54" s="507" t="str">
        <f>IF(T54="","",T54)</f>
        <v/>
      </c>
      <c r="AY54" s="507"/>
      <c r="AZ54" s="507"/>
      <c r="BA54" s="1162">
        <v>11</v>
      </c>
    </row>
    <row customHeight="1" ht="11.549999999999999">
      <c r="A55" s="1370" t="s">
        <v>284</v>
      </c>
      <c r="B55" s="1370" t="s">
        <v>285</v>
      </c>
      <c r="C55" s="1370" t="s">
        <v>286</v>
      </c>
      <c r="D55" s="1370" t="s">
        <v>287</v>
      </c>
      <c r="E55" s="2266"/>
      <c r="F55" s="2266"/>
      <c r="G55" s="2266"/>
      <c r="H55" s="2266"/>
      <c r="I55" s="2293"/>
      <c r="J55" s="2263"/>
      <c r="K55" s="1370"/>
      <c r="L55" s="1371"/>
      <c r="P55" s="2264"/>
      <c r="Q55" s="2264"/>
      <c r="R55" s="363"/>
      <c r="S55" s="1285"/>
      <c r="T55" s="294" t="s">
        <v>628</v>
      </c>
      <c r="U55" s="374"/>
      <c r="V55" s="374"/>
      <c r="W55" s="374"/>
      <c r="X55" s="374"/>
      <c r="Y55" s="374"/>
      <c r="Z55" s="374"/>
      <c r="AA55" s="331"/>
      <c r="AB55" s="1512"/>
      <c r="AC55" s="374"/>
      <c r="AD55" s="374"/>
      <c r="AE55" s="374"/>
      <c r="AF55" s="374"/>
      <c r="AG55" s="374"/>
      <c r="AH55" s="374"/>
      <c r="AI55" s="374"/>
      <c r="AJ55" s="374"/>
      <c r="AK55" s="374"/>
      <c r="AL55" s="374"/>
      <c r="AM55" s="374"/>
      <c r="AN55" s="374"/>
      <c r="AO55" s="374"/>
      <c r="AP55" s="374"/>
      <c r="AQ55" s="374"/>
      <c r="AR55" s="374"/>
      <c r="AS55" s="374"/>
      <c r="AT55" s="331"/>
      <c r="AU55" s="2262"/>
      <c r="AW55" s="507"/>
      <c r="AX55" s="507" t="str">
        <f>IF(T55="","",T55)</f>
        <v>Добавить строку</v>
      </c>
      <c r="AY55" s="507"/>
      <c r="AZ55" s="507"/>
      <c r="BA55" s="1162">
        <v>11</v>
      </c>
    </row>
    <row s="1649" customFormat="1" customHeight="1" ht="1.05">
      <c r="A56" s="1350" t="s">
        <v>284</v>
      </c>
      <c r="B56" s="1350" t="s">
        <v>285</v>
      </c>
      <c r="C56" s="1350" t="s">
        <v>286</v>
      </c>
      <c r="D56" s="1350" t="s">
        <v>287</v>
      </c>
      <c r="E56" s="2266"/>
      <c r="F56" s="2266"/>
      <c r="G56" s="2266"/>
      <c r="H56" s="2266"/>
      <c r="I56" s="2263"/>
      <c r="J56" s="1350"/>
      <c r="K56" s="1350"/>
      <c r="L56" s="1353"/>
      <c r="M56" s="517"/>
      <c r="N56" s="517"/>
      <c r="O56" s="517"/>
      <c r="P56" s="2264"/>
      <c r="Q56" s="1338"/>
      <c r="R56" s="363"/>
      <c r="S56" s="1393"/>
      <c r="T56" s="1394" t="s">
        <v>575</v>
      </c>
      <c r="U56" s="1395"/>
      <c r="V56" s="1395"/>
      <c r="W56" s="1395"/>
      <c r="X56" s="1395"/>
      <c r="Y56" s="1395"/>
      <c r="Z56" s="1395"/>
      <c r="AA56" s="1395"/>
      <c r="AB56" s="1395"/>
      <c r="AC56" s="1395"/>
      <c r="AD56" s="1395"/>
      <c r="AE56" s="1395"/>
      <c r="AF56" s="1395"/>
      <c r="AG56" s="1395"/>
      <c r="AH56" s="1395"/>
      <c r="AI56" s="1395"/>
      <c r="AJ56" s="1395"/>
      <c r="AK56" s="1395"/>
      <c r="AL56" s="1395"/>
      <c r="AM56" s="1395"/>
      <c r="AN56" s="1395"/>
      <c r="AO56" s="1395"/>
      <c r="AP56" s="1395"/>
      <c r="AQ56" s="1395"/>
      <c r="AR56" s="1395"/>
      <c r="AS56" s="1395"/>
      <c r="AT56" s="1395"/>
      <c r="AU56" s="1396"/>
      <c r="AW56" s="507"/>
      <c r="AX56" s="507" t="str">
        <f>IF(T56="","",T56)</f>
        <v>Добавить группу потребителей</v>
      </c>
      <c r="AY56" s="507"/>
      <c r="AZ56" s="507"/>
      <c r="BA56" s="518">
        <v>1</v>
      </c>
    </row>
    <row s="1648" customFormat="1" customHeight="1" ht="1.05">
      <c r="A57" s="1350" t="s">
        <v>284</v>
      </c>
      <c r="B57" s="1350" t="s">
        <v>285</v>
      </c>
      <c r="C57" s="1350" t="s">
        <v>286</v>
      </c>
      <c r="D57" s="1350" t="s">
        <v>287</v>
      </c>
      <c r="E57" s="2266"/>
      <c r="F57" s="2266"/>
      <c r="G57" s="2266"/>
      <c r="H57" s="2265"/>
      <c r="I57" s="1350"/>
      <c r="J57" s="1350"/>
      <c r="K57" s="1350"/>
      <c r="L57" s="1353"/>
      <c r="M57" s="1322"/>
      <c r="N57" s="1322"/>
      <c r="O57" s="525"/>
      <c r="P57" s="387"/>
      <c r="Q57" s="1351"/>
      <c r="R57" s="1407"/>
      <c r="S57" s="1393"/>
      <c r="T57" s="1394"/>
      <c r="U57" s="1395"/>
      <c r="V57" s="1395"/>
      <c r="W57" s="1395"/>
      <c r="X57" s="1395"/>
      <c r="Y57" s="1395"/>
      <c r="Z57" s="1395"/>
      <c r="AA57" s="1395"/>
      <c r="AB57" s="1395"/>
      <c r="AC57" s="1395"/>
      <c r="AD57" s="1395"/>
      <c r="AE57" s="1395"/>
      <c r="AF57" s="1395"/>
      <c r="AG57" s="1395"/>
      <c r="AH57" s="1395"/>
      <c r="AI57" s="1395"/>
      <c r="AJ57" s="1395"/>
      <c r="AK57" s="1395"/>
      <c r="AL57" s="1395"/>
      <c r="AM57" s="1395"/>
      <c r="AN57" s="1395"/>
      <c r="AO57" s="1395"/>
      <c r="AP57" s="1395"/>
      <c r="AQ57" s="1395"/>
      <c r="AR57" s="1395"/>
      <c r="AS57" s="1395"/>
      <c r="AT57" s="1395"/>
      <c r="AU57" s="1396"/>
      <c r="AV57" s="518"/>
      <c r="AW57" s="507"/>
      <c r="AX57" s="507" t="str">
        <f>IF(T57="","",T57)</f>
        <v/>
      </c>
      <c r="AY57" s="507"/>
      <c r="AZ57" s="507"/>
      <c r="BA57" s="503">
        <v>1</v>
      </c>
    </row>
    <row s="1649" customFormat="1" customHeight="1" ht="1.05">
      <c r="A58" s="1350" t="s">
        <v>284</v>
      </c>
      <c r="B58" s="1350" t="s">
        <v>285</v>
      </c>
      <c r="C58" s="1350" t="s">
        <v>286</v>
      </c>
      <c r="D58" s="1321"/>
      <c r="E58" s="2266"/>
      <c r="F58" s="2266"/>
      <c r="G58" s="2265"/>
      <c r="H58" s="1321"/>
      <c r="I58" s="1321"/>
      <c r="J58" s="1321"/>
      <c r="K58" s="1321"/>
      <c r="L58" s="1346"/>
      <c r="M58" s="1322"/>
      <c r="N58" s="1322"/>
      <c r="P58" s="1323"/>
      <c r="Q58" s="1324"/>
      <c r="R58" s="1323"/>
      <c r="S58" s="1329"/>
      <c r="T58" s="1332" t="s">
        <v>577</v>
      </c>
      <c r="U58" s="1331"/>
      <c r="V58" s="1331"/>
      <c r="W58" s="1331"/>
      <c r="X58" s="1331"/>
      <c r="Y58" s="1331"/>
      <c r="Z58" s="1331"/>
      <c r="AA58" s="1331"/>
      <c r="AB58" s="1331"/>
      <c r="AC58" s="1331"/>
      <c r="AD58" s="1331"/>
      <c r="AE58" s="1331"/>
      <c r="AF58" s="1331"/>
      <c r="AG58" s="1331"/>
      <c r="AH58" s="1331"/>
      <c r="AI58" s="1331"/>
      <c r="AJ58" s="1331"/>
      <c r="AK58" s="1331"/>
      <c r="AL58" s="1331"/>
      <c r="AM58" s="1331"/>
      <c r="AN58" s="1331"/>
      <c r="AO58" s="1331"/>
      <c r="AP58" s="1331"/>
      <c r="AQ58" s="1331"/>
      <c r="AR58" s="1331"/>
      <c r="AS58" s="1331"/>
      <c r="AT58" s="1331"/>
      <c r="AU58" s="1331"/>
      <c r="AW58" s="796"/>
      <c r="AX58" s="796" t="str">
        <f>IF(T58="","",T58)</f>
        <v>Добавить источник для дифференциации</v>
      </c>
      <c r="AY58" s="796"/>
      <c r="AZ58" s="796"/>
      <c r="BA58" s="525">
        <v>1</v>
      </c>
    </row>
    <row s="1649" customFormat="1" customHeight="1" ht="1.05">
      <c r="A59" s="1350" t="s">
        <v>284</v>
      </c>
      <c r="B59" s="1350" t="s">
        <v>285</v>
      </c>
      <c r="C59" s="1321"/>
      <c r="D59" s="1321"/>
      <c r="E59" s="2266"/>
      <c r="F59" s="2265"/>
      <c r="G59" s="1321"/>
      <c r="H59" s="1321"/>
      <c r="I59" s="1321"/>
      <c r="J59" s="1321"/>
      <c r="K59" s="1321"/>
      <c r="L59" s="1346"/>
      <c r="M59" s="1328"/>
      <c r="N59" s="1328"/>
      <c r="P59" s="1323"/>
      <c r="Q59" s="1324"/>
      <c r="R59" s="1323"/>
      <c r="S59" s="1329"/>
      <c r="T59" s="1332" t="s">
        <v>316</v>
      </c>
      <c r="U59" s="1331"/>
      <c r="V59" s="1331"/>
      <c r="W59" s="1331"/>
      <c r="X59" s="1331"/>
      <c r="Y59" s="1331"/>
      <c r="Z59" s="1331"/>
      <c r="AA59" s="1331"/>
      <c r="AB59" s="1331"/>
      <c r="AC59" s="1331"/>
      <c r="AD59" s="1331"/>
      <c r="AE59" s="1331"/>
      <c r="AF59" s="1331"/>
      <c r="AG59" s="1331"/>
      <c r="AH59" s="1331"/>
      <c r="AI59" s="1331"/>
      <c r="AJ59" s="1331"/>
      <c r="AK59" s="1331"/>
      <c r="AL59" s="1331"/>
      <c r="AM59" s="1331"/>
      <c r="AN59" s="1331"/>
      <c r="AO59" s="1331"/>
      <c r="AP59" s="1331"/>
      <c r="AQ59" s="1331"/>
      <c r="AR59" s="1331"/>
      <c r="AS59" s="1331"/>
      <c r="AT59" s="1331"/>
      <c r="AU59" s="1331"/>
      <c r="AW59" s="796"/>
      <c r="AX59" s="796" t="str">
        <f>IF(T59="","",T59)</f>
        <v>Добавить централизованную систему для дифференциации</v>
      </c>
      <c r="AY59" s="796"/>
      <c r="AZ59" s="796"/>
      <c r="BA59" s="525">
        <v>1</v>
      </c>
    </row>
    <row s="1649" customFormat="1" customHeight="1" ht="1.05">
      <c r="A60" s="1350" t="s">
        <v>284</v>
      </c>
      <c r="B60" s="1350"/>
      <c r="C60" s="1350"/>
      <c r="D60" s="1350"/>
      <c r="E60" s="2266"/>
      <c r="F60" s="1350"/>
      <c r="G60" s="1350"/>
      <c r="H60" s="1350"/>
      <c r="I60" s="1350"/>
      <c r="J60" s="1350"/>
      <c r="K60" s="1350"/>
      <c r="L60" s="1353"/>
      <c r="M60" s="1328"/>
      <c r="N60" s="1328"/>
      <c r="O60" s="525"/>
      <c r="P60" s="387"/>
      <c r="Q60" s="1351"/>
      <c r="R60" s="387"/>
      <c r="S60" s="1329"/>
      <c r="T60" s="1332" t="s">
        <v>390</v>
      </c>
      <c r="U60" s="1331"/>
      <c r="V60" s="1331"/>
      <c r="W60" s="1331"/>
      <c r="X60" s="1331"/>
      <c r="Y60" s="1331"/>
      <c r="Z60" s="1331"/>
      <c r="AA60" s="1331"/>
      <c r="AB60" s="1331"/>
      <c r="AC60" s="1331"/>
      <c r="AD60" s="1331"/>
      <c r="AE60" s="1331"/>
      <c r="AF60" s="1331"/>
      <c r="AG60" s="1331"/>
      <c r="AH60" s="1331"/>
      <c r="AI60" s="1331"/>
      <c r="AJ60" s="1331"/>
      <c r="AK60" s="1331"/>
      <c r="AL60" s="1331"/>
      <c r="AM60" s="1331"/>
      <c r="AN60" s="1331"/>
      <c r="AO60" s="1331"/>
      <c r="AP60" s="1331"/>
      <c r="AQ60" s="1331"/>
      <c r="AR60" s="1331"/>
      <c r="AS60" s="1331"/>
      <c r="AT60" s="1331"/>
      <c r="AU60" s="1331"/>
      <c r="AW60" s="507"/>
      <c r="AX60" s="507" t="str">
        <f>IF(T60="","",T60)</f>
        <v>Добавить территорию для дифференциации</v>
      </c>
      <c r="AY60" s="507"/>
      <c r="AZ60" s="507"/>
      <c r="BA60" s="518">
        <v>1</v>
      </c>
    </row>
    <row s="1649" customFormat="1" customHeight="1" ht="1.05">
      <c r="A61" s="1350" t="s">
        <v>284</v>
      </c>
      <c r="B61" s="1350"/>
      <c r="C61" s="1350"/>
      <c r="D61" s="1350"/>
      <c r="E61" s="2265"/>
      <c r="F61" s="1350"/>
      <c r="G61" s="1350"/>
      <c r="H61" s="1350"/>
      <c r="I61" s="1350"/>
      <c r="J61" s="1350"/>
      <c r="K61" s="1350"/>
      <c r="L61" s="1353"/>
      <c r="M61" s="1328"/>
      <c r="N61" s="1328"/>
      <c r="O61" s="525"/>
      <c r="P61" s="387"/>
      <c r="Q61" s="1351"/>
      <c r="R61" s="387"/>
      <c r="S61" s="1329"/>
      <c r="T61" s="1332" t="s">
        <v>390</v>
      </c>
      <c r="U61" s="1331"/>
      <c r="V61" s="1331"/>
      <c r="W61" s="1331"/>
      <c r="X61" s="1331"/>
      <c r="Y61" s="1331"/>
      <c r="Z61" s="1331"/>
      <c r="AA61" s="1331"/>
      <c r="AB61" s="1331"/>
      <c r="AC61" s="1331"/>
      <c r="AD61" s="1331"/>
      <c r="AE61" s="1331"/>
      <c r="AF61" s="1331"/>
      <c r="AG61" s="1331"/>
      <c r="AH61" s="1331"/>
      <c r="AI61" s="1331"/>
      <c r="AJ61" s="1331"/>
      <c r="AK61" s="1331"/>
      <c r="AL61" s="1331"/>
      <c r="AM61" s="1331"/>
      <c r="AN61" s="1331"/>
      <c r="AO61" s="1331"/>
      <c r="AP61" s="1331"/>
      <c r="AQ61" s="1331"/>
      <c r="AR61" s="1331"/>
      <c r="AS61" s="1331"/>
      <c r="AT61" s="1331"/>
      <c r="AU61" s="1331"/>
      <c r="AW61" s="507"/>
      <c r="AX61" s="507" t="str">
        <f>IF(T61="","",T61)</f>
        <v>Добавить территорию для дифференциации</v>
      </c>
      <c r="AY61" s="507"/>
      <c r="AZ61" s="507"/>
      <c r="BA61" s="518">
        <v>1</v>
      </c>
    </row>
    <row s="1649" customFormat="1" customHeight="1" ht="1.05">
      <c r="A62" s="1321"/>
      <c r="B62" s="1321"/>
      <c r="C62" s="1321"/>
      <c r="D62" s="1321"/>
      <c r="E62" s="1350"/>
      <c r="F62" s="1321"/>
      <c r="G62" s="1321"/>
      <c r="H62" s="1321"/>
      <c r="I62" s="1321"/>
      <c r="J62" s="1321"/>
      <c r="K62" s="1321"/>
      <c r="L62" s="1346"/>
      <c r="M62" s="1328"/>
      <c r="N62" s="1328"/>
      <c r="P62" s="1323"/>
      <c r="Q62" s="1324"/>
      <c r="R62" s="1323"/>
      <c r="S62" s="1329"/>
      <c r="T62" s="1332" t="s">
        <v>391</v>
      </c>
      <c r="U62" s="1331"/>
      <c r="V62" s="1331"/>
      <c r="W62" s="1331"/>
      <c r="X62" s="1331"/>
      <c r="Y62" s="1331"/>
      <c r="Z62" s="1331"/>
      <c r="AA62" s="1331"/>
      <c r="AB62" s="1331"/>
      <c r="AC62" s="1331"/>
      <c r="AD62" s="1331"/>
      <c r="AE62" s="1331"/>
      <c r="AF62" s="1331"/>
      <c r="AG62" s="1331"/>
      <c r="AH62" s="1331"/>
      <c r="AI62" s="1331"/>
      <c r="AJ62" s="1331"/>
      <c r="AK62" s="1331"/>
      <c r="AL62" s="1331"/>
      <c r="AM62" s="1331"/>
      <c r="AN62" s="1331"/>
      <c r="AO62" s="1331"/>
      <c r="AP62" s="1331"/>
      <c r="AQ62" s="1331"/>
      <c r="AR62" s="1331"/>
      <c r="AS62" s="1331"/>
      <c r="AT62" s="1331"/>
      <c r="AU62" s="1331"/>
      <c r="AW62" s="796"/>
      <c r="AX62" s="796" t="str">
        <f>IF(T62="","",T62)</f>
        <v>Добавить наименование тарифа</v>
      </c>
      <c r="AY62" s="796"/>
      <c r="AZ62" s="796"/>
      <c r="BA62" s="525">
        <v>1</v>
      </c>
    </row>
    <row customHeight="1" ht="11.549999999999999">
      <c r="M63" s="1167"/>
      <c r="N63" s="1167"/>
      <c r="O63" s="544"/>
      <c r="P63" s="1167"/>
      <c r="Q63" s="1167"/>
      <c r="R63" s="1162"/>
      <c r="S63" s="1162"/>
      <c r="AV63" s="1162"/>
      <c r="AW63" s="1162"/>
      <c r="AX63" s="1162"/>
      <c r="AY63" s="1162"/>
      <c r="AZ63" s="1162"/>
      <c r="BA63" s="1162">
        <v>11</v>
      </c>
    </row>
    <row customHeight="1" ht="19.95">
      <c r="O64" s="544"/>
      <c r="S64" s="1260"/>
      <c r="T64" s="2292"/>
      <c r="U64" s="2292"/>
      <c r="V64" s="2292"/>
      <c r="W64" s="2292"/>
      <c r="X64" s="2292"/>
      <c r="Y64" s="2292"/>
      <c r="Z64" s="2292"/>
      <c r="AA64" s="2292"/>
      <c r="AB64" s="2292"/>
      <c r="AC64" s="2292"/>
      <c r="AD64" s="2292"/>
      <c r="AE64" s="2292"/>
      <c r="AF64" s="2292"/>
      <c r="AG64" s="2292"/>
      <c r="AH64" s="2292"/>
      <c r="AI64" s="2292"/>
      <c r="AJ64" s="2292"/>
      <c r="AK64" s="2292"/>
      <c r="AL64" s="2292"/>
      <c r="AM64" s="2292"/>
      <c r="AN64" s="2292"/>
      <c r="AO64" s="2292"/>
      <c r="AP64" s="2292"/>
      <c r="AQ64" s="2292"/>
      <c r="AR64" s="2292"/>
      <c r="AS64" s="2292"/>
      <c r="AT64" s="2292"/>
      <c r="AU64" s="2292"/>
      <c r="BA64" s="1162">
        <v>19</v>
      </c>
    </row>
    <row customHeight="1" ht="21">
      <c r="O65" s="544"/>
      <c r="T65" s="2292"/>
      <c r="U65" s="2292"/>
      <c r="V65" s="2292"/>
      <c r="W65" s="2292"/>
      <c r="X65" s="2292"/>
      <c r="Y65" s="2292"/>
      <c r="Z65" s="2292"/>
      <c r="AA65" s="2292"/>
      <c r="AB65" s="2292"/>
      <c r="AC65" s="2292"/>
      <c r="AD65" s="2292"/>
      <c r="AE65" s="2292"/>
      <c r="AF65" s="2292"/>
      <c r="AG65" s="2292"/>
      <c r="AH65" s="2292"/>
      <c r="AI65" s="2292"/>
      <c r="AJ65" s="2292"/>
      <c r="AK65" s="2292"/>
      <c r="AL65" s="2292"/>
      <c r="AM65" s="2292"/>
      <c r="AN65" s="2292"/>
      <c r="AO65" s="2292"/>
      <c r="AP65" s="2292"/>
      <c r="AQ65" s="2292"/>
      <c r="AR65" s="2292"/>
      <c r="AS65" s="2292"/>
      <c r="AT65" s="2292"/>
      <c r="AU65" s="2292"/>
      <c r="BA65" s="1162">
        <v>20</v>
      </c>
    </row>
    <row customHeight="1" ht="14.699999999999998">
      <c r="O66" s="544"/>
      <c r="T66" s="1340"/>
      <c r="U66" s="1340"/>
      <c r="V66" s="1340"/>
      <c r="W66" s="1340"/>
      <c r="X66" s="1340"/>
      <c r="Y66" s="1340"/>
      <c r="Z66" s="1340"/>
      <c r="AA66" s="1340"/>
      <c r="AB66" s="1340"/>
      <c r="AC66" s="1340"/>
      <c r="AD66" s="1340"/>
      <c r="AE66" s="1340"/>
      <c r="AF66" s="1340"/>
      <c r="AG66" s="1340"/>
      <c r="AH66" s="1340"/>
      <c r="AI66" s="1340"/>
      <c r="AJ66" s="1340"/>
      <c r="AK66" s="1340"/>
      <c r="AL66" s="1340"/>
      <c r="AM66" s="1340"/>
      <c r="AN66" s="1340"/>
      <c r="AO66" s="1340"/>
      <c r="AP66" s="1340"/>
      <c r="AQ66" s="1340"/>
      <c r="AR66" s="1340"/>
      <c r="AS66" s="1340"/>
      <c r="AT66" s="1340"/>
      <c r="AU66" s="1340"/>
      <c r="BA66" s="1162">
        <v>14</v>
      </c>
    </row>
    <row customHeight="1" ht="19.95">
      <c r="O67" s="544"/>
      <c r="T67" s="2292"/>
      <c r="U67" s="2292"/>
      <c r="V67" s="2292"/>
      <c r="W67" s="2292"/>
      <c r="X67" s="2292"/>
      <c r="Y67" s="2292"/>
      <c r="Z67" s="2292"/>
      <c r="AA67" s="2292"/>
      <c r="AB67" s="2292"/>
      <c r="AC67" s="2292"/>
      <c r="AD67" s="2292"/>
      <c r="AE67" s="2292"/>
      <c r="AF67" s="2292"/>
      <c r="AG67" s="2292"/>
      <c r="AH67" s="2292"/>
      <c r="AI67" s="2292"/>
      <c r="AJ67" s="2292"/>
      <c r="AK67" s="2292"/>
      <c r="AL67" s="2292"/>
      <c r="AM67" s="2292"/>
      <c r="AN67" s="2292"/>
      <c r="AO67" s="2292"/>
      <c r="AP67" s="2292"/>
      <c r="AQ67" s="2292"/>
      <c r="AR67" s="2292"/>
      <c r="AS67" s="2292"/>
      <c r="AT67" s="2292"/>
      <c r="AU67" s="2292"/>
      <c r="BA67" s="1162">
        <v>19</v>
      </c>
    </row>
    <row customHeight="1" ht="16.8">
      <c r="O68" s="544"/>
      <c r="T68" s="2292"/>
      <c r="U68" s="2292"/>
      <c r="V68" s="2292"/>
      <c r="W68" s="2292"/>
      <c r="X68" s="2292"/>
      <c r="Y68" s="2292"/>
      <c r="Z68" s="2292"/>
      <c r="AA68" s="2292"/>
      <c r="AB68" s="2292"/>
      <c r="AC68" s="2292"/>
      <c r="AD68" s="2292"/>
      <c r="AE68" s="2292"/>
      <c r="AF68" s="2292"/>
      <c r="AG68" s="2292"/>
      <c r="AH68" s="2292"/>
      <c r="AI68" s="2292"/>
      <c r="AJ68" s="2292"/>
      <c r="AK68" s="2292"/>
      <c r="AL68" s="2292"/>
      <c r="AM68" s="2292"/>
      <c r="AN68" s="2292"/>
      <c r="AO68" s="2292"/>
      <c r="AP68" s="2292"/>
      <c r="AQ68" s="2292"/>
      <c r="AR68" s="2292"/>
      <c r="AS68" s="2292"/>
      <c r="AT68" s="2292"/>
      <c r="AU68" s="2292"/>
      <c r="BA68" s="1162">
        <v>16</v>
      </c>
    </row>
    <row customHeight="1" ht="14.699999999999998">
      <c r="O69" s="544"/>
      <c r="BA69" s="1162">
        <v>14</v>
      </c>
    </row>
    <row customHeight="1" ht="22.5" hidden="1">
      <c r="A70" s="1167" t="s">
        <v>82</v>
      </c>
      <c r="B70" s="1167">
        <v>0</v>
      </c>
      <c r="C70" s="1167">
        <v>0</v>
      </c>
      <c r="D70" s="1167">
        <v>0</v>
      </c>
      <c r="E70" s="1167">
        <v>0</v>
      </c>
      <c r="F70" s="1167">
        <v>0</v>
      </c>
      <c r="G70" s="1167">
        <v>0</v>
      </c>
      <c r="H70" s="1167">
        <v>0</v>
      </c>
      <c r="I70" s="1167">
        <v>0</v>
      </c>
      <c r="J70" s="1167">
        <v>0</v>
      </c>
      <c r="K70" s="1167">
        <v>0</v>
      </c>
      <c r="L70" s="1336">
        <v>0</v>
      </c>
      <c r="M70" s="1369">
        <v>0</v>
      </c>
      <c r="N70" s="1369">
        <v>0</v>
      </c>
      <c r="O70" s="1369">
        <v>0</v>
      </c>
      <c r="P70" s="1369">
        <v>3</v>
      </c>
      <c r="Q70" s="1378">
        <v>3</v>
      </c>
      <c r="R70" s="351">
        <v>3</v>
      </c>
      <c r="S70" s="588">
        <v>12</v>
      </c>
      <c r="T70" s="1162">
        <v>31</v>
      </c>
      <c r="U70" s="1162">
        <v>0</v>
      </c>
      <c r="V70" s="1162">
        <v>0</v>
      </c>
      <c r="W70" s="1162">
        <v>0</v>
      </c>
      <c r="X70" s="1162">
        <v>0</v>
      </c>
      <c r="Y70" s="1162">
        <v>0</v>
      </c>
      <c r="Z70" s="1162">
        <v>0</v>
      </c>
      <c r="AA70" s="1162">
        <v>0</v>
      </c>
      <c r="AB70" s="1162">
        <v>5</v>
      </c>
      <c r="AC70" s="1162">
        <v>3</v>
      </c>
      <c r="AD70" s="1162">
        <v>3</v>
      </c>
      <c r="AE70" s="1162">
        <v>24</v>
      </c>
      <c r="AF70" s="1162">
        <v>3</v>
      </c>
      <c r="AG70" s="1162">
        <v>3</v>
      </c>
      <c r="AH70" s="1162">
        <v>3</v>
      </c>
      <c r="AI70" s="1162">
        <v>24</v>
      </c>
      <c r="AJ70" s="1162">
        <v>3</v>
      </c>
      <c r="AK70" s="1162">
        <v>3</v>
      </c>
      <c r="AL70" s="1162">
        <v>3</v>
      </c>
      <c r="AM70" s="1162">
        <v>18</v>
      </c>
      <c r="AN70" s="1162">
        <v>21</v>
      </c>
      <c r="AO70" s="1162">
        <v>21</v>
      </c>
      <c r="AP70" s="1162">
        <v>11</v>
      </c>
      <c r="AQ70" s="1162">
        <v>3</v>
      </c>
      <c r="AR70" s="1162">
        <v>11</v>
      </c>
      <c r="AS70" s="1162">
        <v>8</v>
      </c>
      <c r="AT70" s="1162">
        <v>4</v>
      </c>
      <c r="AU70" s="1162">
        <v>115</v>
      </c>
      <c r="AV70" s="518">
        <v>10</v>
      </c>
      <c r="AW70" s="518">
        <v>10</v>
      </c>
      <c r="AX70" s="518">
        <v>10</v>
      </c>
      <c r="AY70" s="518">
        <v>10</v>
      </c>
      <c r="AZ70" s="518">
        <v>10</v>
      </c>
      <c r="BA70" s="1162">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052647-2F51-C804-528E-7B1D6DDB1971}" mc:Ignorable="x14ac xr xr2 xr3">
  <sheetPr>
    <tabColor theme="6" tint="0.4"/>
  </sheetPr>
  <dimension ref="A1:CU258"/>
  <sheetViews>
    <sheetView showGridLines="0" zoomScale="90" workbookViewId="0" tabSelected="1">
      <pane xSplit="28" ySplit="40" topLeftCell="AO41" activePane="bottomRight" state="frozen"/>
      <selection pane="bottomLeft" activeCell="A41" sqref="A41"/>
      <selection pane="topRight" activeCell="AC1" sqref="AC1"/>
      <selection pane="bottomRight" activeCell="AX251" sqref="AX25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31" style="1642" width="24.00390625" customWidth="1"/>
    <col min="32" max="32" style="1642" width="11.00390625" customWidth="1"/>
    <col min="33" max="33" style="1642" width="3.7109375" customWidth="1"/>
    <col min="34" max="34" style="1642" width="11.00390625" customWidth="1"/>
    <col min="35" max="35" style="1642" width="8.57421875" customWidth="1"/>
    <col min="91" max="91" style="71" width="10.57421875" hidden="1"/>
    <col min="92" max="92" style="1642" width="4.00390625" customWidth="1"/>
    <col min="93" max="93" style="1642" width="115.00390625" customWidth="1"/>
    <col min="94" max="98" style="1649" width="10.00390625" customWidth="1"/>
    <col min="99" max="99" style="1642" width="10.57421875" hidden="1"/>
  </cols>
  <sheetData>
    <row customHeight="1" ht="22.5" hidden="1">
      <c r="X1" s="334"/>
      <c r="Y1" s="334"/>
      <c r="AE1" s="334"/>
      <c r="AF1" s="334"/>
      <c r="AJ1" s="1642"/>
      <c r="AK1" s="1642"/>
      <c r="AL1" s="1642"/>
      <c r="AM1" s="1642"/>
      <c r="AN1" s="1642"/>
      <c r="AO1" s="1642"/>
      <c r="AP1" s="1642"/>
      <c r="AQ1" s="1642"/>
      <c r="AR1" s="1642"/>
      <c r="AS1" s="1642"/>
      <c r="AT1" s="1642"/>
      <c r="AU1" s="1642"/>
      <c r="AV1" s="1642"/>
      <c r="AW1" s="1642"/>
      <c r="AX1" s="1642"/>
      <c r="AY1" s="1642"/>
      <c r="AZ1" s="1642"/>
      <c r="BA1" s="1642"/>
      <c r="BB1" s="1642"/>
      <c r="BC1" s="1642"/>
      <c r="BD1" s="1642"/>
      <c r="BE1" s="1642"/>
      <c r="BF1" s="1642"/>
      <c r="BG1" s="1642"/>
      <c r="BH1" s="1642"/>
      <c r="BI1" s="1642"/>
      <c r="BJ1" s="1642"/>
      <c r="BK1" s="1642"/>
      <c r="BL1" s="1642"/>
      <c r="BM1" s="1642"/>
      <c r="BN1" s="1642"/>
      <c r="BO1" s="1642"/>
      <c r="BP1" s="1642"/>
      <c r="BQ1" s="1642"/>
      <c r="BR1" s="1642"/>
      <c r="BS1" s="1642"/>
      <c r="BT1" s="1642"/>
      <c r="BU1" s="1642"/>
      <c r="BV1" s="1642"/>
      <c r="BW1" s="1642"/>
      <c r="BX1" s="1642"/>
      <c r="BY1" s="1642"/>
      <c r="BZ1" s="1642"/>
      <c r="CA1" s="1642"/>
      <c r="CB1" s="1642"/>
      <c r="CC1" s="1642"/>
      <c r="CD1" s="1642"/>
      <c r="CE1" s="1642"/>
      <c r="CF1" s="1642"/>
      <c r="CG1" s="1642"/>
      <c r="CH1" s="1642"/>
      <c r="CI1" s="1642"/>
      <c r="CJ1" s="1642"/>
      <c r="CK1" s="1642"/>
      <c r="CL1" s="1642"/>
      <c r="CM1" s="4489"/>
      <c r="CU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432">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49"/>
      <c r="AK2" s="2250"/>
      <c r="AL2" s="2250"/>
      <c r="AM2" s="2250"/>
      <c r="AN2" s="2250"/>
      <c r="AO2" s="2250"/>
      <c r="AP2" s="2251"/>
      <c r="AQ2" s="2249"/>
      <c r="AR2" s="2250"/>
      <c r="AS2" s="2250"/>
      <c r="AT2" s="2250"/>
      <c r="AU2" s="2250"/>
      <c r="AV2" s="2250"/>
      <c r="AW2" s="2251"/>
      <c r="AX2" s="2249"/>
      <c r="AY2" s="2250"/>
      <c r="AZ2" s="2250"/>
      <c r="BA2" s="2250"/>
      <c r="BB2" s="2250"/>
      <c r="BC2" s="2250"/>
      <c r="BD2" s="2251"/>
      <c r="BE2" s="2249"/>
      <c r="BF2" s="2250"/>
      <c r="BG2" s="2250"/>
      <c r="BH2" s="2250"/>
      <c r="BI2" s="2250"/>
      <c r="BJ2" s="2250"/>
      <c r="BK2" s="2251"/>
      <c r="BL2" s="2249"/>
      <c r="BM2" s="2250"/>
      <c r="BN2" s="2250"/>
      <c r="BO2" s="2250"/>
      <c r="BP2" s="2250"/>
      <c r="BQ2" s="2250"/>
      <c r="BR2" s="2251"/>
      <c r="BS2" s="2249"/>
      <c r="BT2" s="2250"/>
      <c r="BU2" s="2250"/>
      <c r="BV2" s="2250"/>
      <c r="BW2" s="2250"/>
      <c r="BX2" s="2250"/>
      <c r="BY2" s="2251"/>
      <c r="BZ2" s="2249"/>
      <c r="CA2" s="2250"/>
      <c r="CB2" s="2250"/>
      <c r="CC2" s="2250"/>
      <c r="CD2" s="2250"/>
      <c r="CE2" s="2250"/>
      <c r="CF2" s="2251"/>
      <c r="CG2" s="2249"/>
      <c r="CH2" s="2250"/>
      <c r="CI2" s="2250"/>
      <c r="CJ2" s="2250"/>
      <c r="CK2" s="2250"/>
      <c r="CL2" s="2250"/>
      <c r="CM2" s="4492"/>
      <c r="CN2" s="2251"/>
      <c r="CO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CQ2" s="507"/>
      <c r="CR2" s="507" t="str">
        <f>IF(T2="","",T2)</f>
        <v>Наименование тарифа</v>
      </c>
      <c r="CS2" s="507"/>
      <c r="CT2" s="507"/>
      <c r="CU2" s="1162">
        <v>0</v>
      </c>
    </row>
    <row customHeight="1" ht="23.25" hidden="1">
      <c r="A3" s="1370"/>
      <c r="B3" s="1370"/>
      <c r="C3" s="1370"/>
      <c r="D3" s="1370"/>
      <c r="E3" s="2266"/>
      <c r="F3" s="2265">
        <v>1</v>
      </c>
      <c r="G3" s="1370"/>
      <c r="H3" s="1370"/>
      <c r="I3" s="1370"/>
      <c r="J3" s="1370"/>
      <c r="K3" s="1370"/>
      <c r="L3" s="1371"/>
      <c r="M3" s="1372"/>
      <c r="N3" s="1372"/>
      <c r="O3" s="1372"/>
      <c r="P3" s="1430"/>
      <c r="Q3" s="359"/>
      <c r="R3" s="360"/>
      <c r="S3" s="1432">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49"/>
      <c r="AK3" s="2250"/>
      <c r="AL3" s="2250"/>
      <c r="AM3" s="2250"/>
      <c r="AN3" s="2250"/>
      <c r="AO3" s="2250"/>
      <c r="AP3" s="2251"/>
      <c r="AQ3" s="2249"/>
      <c r="AR3" s="2250"/>
      <c r="AS3" s="2250"/>
      <c r="AT3" s="2250"/>
      <c r="AU3" s="2250"/>
      <c r="AV3" s="2250"/>
      <c r="AW3" s="2251"/>
      <c r="AX3" s="2249"/>
      <c r="AY3" s="2250"/>
      <c r="AZ3" s="2250"/>
      <c r="BA3" s="2250"/>
      <c r="BB3" s="2250"/>
      <c r="BC3" s="2250"/>
      <c r="BD3" s="2251"/>
      <c r="BE3" s="2249"/>
      <c r="BF3" s="2250"/>
      <c r="BG3" s="2250"/>
      <c r="BH3" s="2250"/>
      <c r="BI3" s="2250"/>
      <c r="BJ3" s="2250"/>
      <c r="BK3" s="2251"/>
      <c r="BL3" s="2249"/>
      <c r="BM3" s="2250"/>
      <c r="BN3" s="2250"/>
      <c r="BO3" s="2250"/>
      <c r="BP3" s="2250"/>
      <c r="BQ3" s="2250"/>
      <c r="BR3" s="2251"/>
      <c r="BS3" s="2249"/>
      <c r="BT3" s="2250"/>
      <c r="BU3" s="2250"/>
      <c r="BV3" s="2250"/>
      <c r="BW3" s="2250"/>
      <c r="BX3" s="2250"/>
      <c r="BY3" s="2251"/>
      <c r="BZ3" s="2249"/>
      <c r="CA3" s="2250"/>
      <c r="CB3" s="2250"/>
      <c r="CC3" s="2250"/>
      <c r="CD3" s="2250"/>
      <c r="CE3" s="2250"/>
      <c r="CF3" s="2251"/>
      <c r="CG3" s="2249"/>
      <c r="CH3" s="2250"/>
      <c r="CI3" s="2250"/>
      <c r="CJ3" s="2250"/>
      <c r="CK3" s="2250"/>
      <c r="CL3" s="2250"/>
      <c r="CM3" s="4492"/>
      <c r="CN3" s="2251"/>
      <c r="CO3" s="1265" t="s">
        <v>561</v>
      </c>
      <c r="CQ3" s="507"/>
      <c r="CR3" s="507" t="str">
        <f>IF(T3="","",T3)</f>
        <v>Территория действия тарифа</v>
      </c>
      <c r="CS3" s="507"/>
      <c r="CT3" s="507"/>
      <c r="CU3" s="1162">
        <v>0</v>
      </c>
    </row>
    <row customHeight="1" ht="23.25" hidden="1">
      <c r="A4" s="1370"/>
      <c r="B4" s="1370"/>
      <c r="C4" s="1370"/>
      <c r="D4" s="1370"/>
      <c r="E4" s="2266"/>
      <c r="F4" s="2266"/>
      <c r="G4" s="2265">
        <v>1</v>
      </c>
      <c r="H4" s="1370"/>
      <c r="I4" s="1370"/>
      <c r="J4" s="1370"/>
      <c r="K4" s="1370"/>
      <c r="L4" s="1371"/>
      <c r="M4" s="1372"/>
      <c r="N4" s="1372"/>
      <c r="O4" s="1372"/>
      <c r="P4" s="361"/>
      <c r="Q4" s="359"/>
      <c r="R4" s="360"/>
      <c r="S4" s="1432">
        <f>INDEX(PT_DIFFERENTIATION_NUM_CS,MATCH(C4,PT_DIFFERENTIATION_CS_ID,0))</f>
      </c>
      <c r="T4" s="316" t="s">
        <v>641</v>
      </c>
      <c r="U4" s="307"/>
      <c r="V4" s="2249"/>
      <c r="W4" s="2250"/>
      <c r="X4" s="2250"/>
      <c r="Y4" s="2250"/>
      <c r="Z4" s="2250"/>
      <c r="AA4" s="2250"/>
      <c r="AB4" s="2251"/>
      <c r="AC4" s="2249">
        <f>INDEX(PT_DIFFERENTIATION_CS,MATCH(C4,PT_DIFFERENTIATION_CS_ID,0))</f>
      </c>
      <c r="AD4" s="2250"/>
      <c r="AE4" s="2250"/>
      <c r="AF4" s="2250"/>
      <c r="AG4" s="2250"/>
      <c r="AH4" s="2250"/>
      <c r="AI4" s="2250"/>
      <c r="AJ4" s="2249"/>
      <c r="AK4" s="2250"/>
      <c r="AL4" s="2250"/>
      <c r="AM4" s="2250"/>
      <c r="AN4" s="2250"/>
      <c r="AO4" s="2250"/>
      <c r="AP4" s="2251"/>
      <c r="AQ4" s="2249"/>
      <c r="AR4" s="2250"/>
      <c r="AS4" s="2250"/>
      <c r="AT4" s="2250"/>
      <c r="AU4" s="2250"/>
      <c r="AV4" s="2250"/>
      <c r="AW4" s="2251"/>
      <c r="AX4" s="2249"/>
      <c r="AY4" s="2250"/>
      <c r="AZ4" s="2250"/>
      <c r="BA4" s="2250"/>
      <c r="BB4" s="2250"/>
      <c r="BC4" s="2250"/>
      <c r="BD4" s="2251"/>
      <c r="BE4" s="2249"/>
      <c r="BF4" s="2250"/>
      <c r="BG4" s="2250"/>
      <c r="BH4" s="2250"/>
      <c r="BI4" s="2250"/>
      <c r="BJ4" s="2250"/>
      <c r="BK4" s="2251"/>
      <c r="BL4" s="2249"/>
      <c r="BM4" s="2250"/>
      <c r="BN4" s="2250"/>
      <c r="BO4" s="2250"/>
      <c r="BP4" s="2250"/>
      <c r="BQ4" s="2250"/>
      <c r="BR4" s="2251"/>
      <c r="BS4" s="2249"/>
      <c r="BT4" s="2250"/>
      <c r="BU4" s="2250"/>
      <c r="BV4" s="2250"/>
      <c r="BW4" s="2250"/>
      <c r="BX4" s="2250"/>
      <c r="BY4" s="2251"/>
      <c r="BZ4" s="2249"/>
      <c r="CA4" s="2250"/>
      <c r="CB4" s="2250"/>
      <c r="CC4" s="2250"/>
      <c r="CD4" s="2250"/>
      <c r="CE4" s="2250"/>
      <c r="CF4" s="2251"/>
      <c r="CG4" s="2249"/>
      <c r="CH4" s="2250"/>
      <c r="CI4" s="2250"/>
      <c r="CJ4" s="2250"/>
      <c r="CK4" s="2250"/>
      <c r="CL4" s="2250"/>
      <c r="CM4" s="4492"/>
      <c r="CN4" s="2251"/>
      <c r="CO4" s="1265" t="s">
        <v>642</v>
      </c>
      <c r="CQ4" s="507"/>
      <c r="CR4" s="507" t="str">
        <f>IF(T4="","",T4)</f>
        <v>Наименование централизованной системы холодного водоснабжения</v>
      </c>
      <c r="CS4" s="507"/>
      <c r="CT4" s="507"/>
      <c r="CU4" s="1162">
        <v>0</v>
      </c>
    </row>
    <row customHeight="1" ht="23.25" hidden="1">
      <c r="A5" s="1370"/>
      <c r="B5" s="1370"/>
      <c r="C5" s="1370"/>
      <c r="D5" s="1370"/>
      <c r="E5" s="2266"/>
      <c r="F5" s="2266"/>
      <c r="G5" s="2266"/>
      <c r="H5" s="2266"/>
      <c r="I5" s="2263">
        <f>S4&amp;".1"</f>
      </c>
      <c r="J5" s="1370"/>
      <c r="K5" s="1370"/>
      <c r="L5" s="1371"/>
      <c r="P5" s="2264">
        <v>1</v>
      </c>
      <c r="Q5" s="1429"/>
      <c r="R5" s="363"/>
      <c r="S5" s="1432">
        <f>$I5</f>
      </c>
      <c r="T5" s="292" t="s">
        <v>643</v>
      </c>
      <c r="U5" s="307"/>
      <c r="V5" s="2357"/>
      <c r="W5" s="2358"/>
      <c r="X5" s="2358"/>
      <c r="Y5" s="2358"/>
      <c r="Z5" s="2358"/>
      <c r="AA5" s="2358"/>
      <c r="AB5" s="2359"/>
      <c r="AC5" s="2360"/>
      <c r="AD5" s="2361"/>
      <c r="AE5" s="2361"/>
      <c r="AF5" s="2361"/>
      <c r="AG5" s="2361"/>
      <c r="AH5" s="2361"/>
      <c r="AI5" s="2361"/>
      <c r="AJ5" s="2357"/>
      <c r="AK5" s="2358"/>
      <c r="AL5" s="2358"/>
      <c r="AM5" s="2358"/>
      <c r="AN5" s="2358"/>
      <c r="AO5" s="2358"/>
      <c r="AP5" s="2359"/>
      <c r="AQ5" s="2357"/>
      <c r="AR5" s="2358"/>
      <c r="AS5" s="2358"/>
      <c r="AT5" s="2358"/>
      <c r="AU5" s="2358"/>
      <c r="AV5" s="2358"/>
      <c r="AW5" s="2359"/>
      <c r="AX5" s="2357"/>
      <c r="AY5" s="2358"/>
      <c r="AZ5" s="2358"/>
      <c r="BA5" s="2358"/>
      <c r="BB5" s="2358"/>
      <c r="BC5" s="2358"/>
      <c r="BD5" s="2359"/>
      <c r="BE5" s="2357"/>
      <c r="BF5" s="2358"/>
      <c r="BG5" s="2358"/>
      <c r="BH5" s="2358"/>
      <c r="BI5" s="2358"/>
      <c r="BJ5" s="2358"/>
      <c r="BK5" s="2359"/>
      <c r="BL5" s="2357"/>
      <c r="BM5" s="2358"/>
      <c r="BN5" s="2358"/>
      <c r="BO5" s="2358"/>
      <c r="BP5" s="2358"/>
      <c r="BQ5" s="2358"/>
      <c r="BR5" s="2359"/>
      <c r="BS5" s="2357"/>
      <c r="BT5" s="2358"/>
      <c r="BU5" s="2358"/>
      <c r="BV5" s="2358"/>
      <c r="BW5" s="2358"/>
      <c r="BX5" s="2358"/>
      <c r="BY5" s="2359"/>
      <c r="BZ5" s="2357"/>
      <c r="CA5" s="2358"/>
      <c r="CB5" s="2358"/>
      <c r="CC5" s="2358"/>
      <c r="CD5" s="2358"/>
      <c r="CE5" s="2358"/>
      <c r="CF5" s="2359"/>
      <c r="CG5" s="2357"/>
      <c r="CH5" s="2358"/>
      <c r="CI5" s="2358"/>
      <c r="CJ5" s="2358"/>
      <c r="CK5" s="2358"/>
      <c r="CL5" s="2358"/>
      <c r="CM5" s="4495"/>
      <c r="CN5" s="2362"/>
      <c r="CO5" s="1265" t="s">
        <v>644</v>
      </c>
      <c r="CQ5" s="507"/>
      <c r="CR5" s="507" t="str">
        <f>IF(T5="","",T5)</f>
        <v>Наименование признака дифференциации</v>
      </c>
      <c r="CS5" s="507"/>
      <c r="CT5" s="507"/>
      <c r="CU5" s="1162">
        <v>0</v>
      </c>
    </row>
    <row customHeight="1" ht="23.25" hidden="1">
      <c r="A6" s="1370"/>
      <c r="B6" s="1370"/>
      <c r="C6" s="1370"/>
      <c r="D6" s="1370"/>
      <c r="E6" s="2266"/>
      <c r="F6" s="2266"/>
      <c r="G6" s="2266"/>
      <c r="H6" s="2266"/>
      <c r="I6" s="2293"/>
      <c r="J6" s="2263">
        <f>I5&amp;".1"</f>
      </c>
      <c r="K6" s="1370"/>
      <c r="L6" s="1371" t="s">
        <v>569</v>
      </c>
      <c r="P6" s="2264"/>
      <c r="Q6" s="2264">
        <v>1</v>
      </c>
      <c r="R6" s="364"/>
      <c r="S6" s="1432">
        <f>$J6</f>
      </c>
      <c r="T6" s="293" t="s">
        <v>570</v>
      </c>
      <c r="U6" s="307"/>
      <c r="V6" s="2252"/>
      <c r="W6" s="2253"/>
      <c r="X6" s="2253"/>
      <c r="Y6" s="2253"/>
      <c r="Z6" s="2253"/>
      <c r="AA6" s="2253"/>
      <c r="AB6" s="2254"/>
      <c r="AC6" s="2252"/>
      <c r="AD6" s="2253"/>
      <c r="AE6" s="2253"/>
      <c r="AF6" s="2253"/>
      <c r="AG6" s="2253"/>
      <c r="AH6" s="2253"/>
      <c r="AI6" s="2253"/>
      <c r="AJ6" s="2252"/>
      <c r="AK6" s="2253"/>
      <c r="AL6" s="2253"/>
      <c r="AM6" s="2253"/>
      <c r="AN6" s="2253"/>
      <c r="AO6" s="2253"/>
      <c r="AP6" s="2254"/>
      <c r="AQ6" s="2252"/>
      <c r="AR6" s="2253"/>
      <c r="AS6" s="2253"/>
      <c r="AT6" s="2253"/>
      <c r="AU6" s="2253"/>
      <c r="AV6" s="2253"/>
      <c r="AW6" s="2254"/>
      <c r="AX6" s="2252"/>
      <c r="AY6" s="2253"/>
      <c r="AZ6" s="2253"/>
      <c r="BA6" s="2253"/>
      <c r="BB6" s="2253"/>
      <c r="BC6" s="2253"/>
      <c r="BD6" s="2254"/>
      <c r="BE6" s="2252"/>
      <c r="BF6" s="2253"/>
      <c r="BG6" s="2253"/>
      <c r="BH6" s="2253"/>
      <c r="BI6" s="2253"/>
      <c r="BJ6" s="2253"/>
      <c r="BK6" s="2254"/>
      <c r="BL6" s="2252"/>
      <c r="BM6" s="2253"/>
      <c r="BN6" s="2253"/>
      <c r="BO6" s="2253"/>
      <c r="BP6" s="2253"/>
      <c r="BQ6" s="2253"/>
      <c r="BR6" s="2254"/>
      <c r="BS6" s="2252"/>
      <c r="BT6" s="2253"/>
      <c r="BU6" s="2253"/>
      <c r="BV6" s="2253"/>
      <c r="BW6" s="2253"/>
      <c r="BX6" s="2253"/>
      <c r="BY6" s="2254"/>
      <c r="BZ6" s="2252"/>
      <c r="CA6" s="2253"/>
      <c r="CB6" s="2253"/>
      <c r="CC6" s="2253"/>
      <c r="CD6" s="2253"/>
      <c r="CE6" s="2253"/>
      <c r="CF6" s="2254"/>
      <c r="CG6" s="2252"/>
      <c r="CH6" s="2253"/>
      <c r="CI6" s="2253"/>
      <c r="CJ6" s="2253"/>
      <c r="CK6" s="2253"/>
      <c r="CL6" s="2253"/>
      <c r="CM6" s="4498"/>
      <c r="CN6" s="2254"/>
      <c r="CO6" s="1314" t="s">
        <v>645</v>
      </c>
      <c r="CQ6" s="507"/>
      <c r="CR6" s="507" t="str">
        <f>IF(T6="","",T6)</f>
        <v>Группа потребителей</v>
      </c>
      <c r="CS6" s="507"/>
      <c r="CT6" s="507"/>
      <c r="CU6" s="1162">
        <v>0</v>
      </c>
    </row>
    <row customHeight="1" ht="23.25" hidden="1">
      <c r="A7" s="1370"/>
      <c r="B7" s="1370"/>
      <c r="C7" s="1370"/>
      <c r="D7" s="1370"/>
      <c r="E7" s="2266"/>
      <c r="F7" s="2266"/>
      <c r="G7" s="2266"/>
      <c r="H7" s="2266"/>
      <c r="I7" s="2293"/>
      <c r="J7" s="2293"/>
      <c r="K7" s="2263">
        <f>J6&amp;".1"</f>
      </c>
      <c r="L7" s="1371"/>
      <c r="P7" s="2264"/>
      <c r="Q7" s="2264"/>
      <c r="R7" s="364">
        <v>1</v>
      </c>
      <c r="S7" s="1432">
        <f>$K7</f>
      </c>
      <c r="T7" s="1444"/>
      <c r="U7" s="307"/>
      <c r="V7" s="758"/>
      <c r="W7" s="758"/>
      <c r="X7" s="1264"/>
      <c r="Y7" s="2272"/>
      <c r="Z7" s="2114" t="s">
        <v>66</v>
      </c>
      <c r="AA7" s="2272"/>
      <c r="AB7" s="2114" t="s">
        <v>66</v>
      </c>
      <c r="AC7" s="758"/>
      <c r="AD7" s="758"/>
      <c r="AE7" s="1264"/>
      <c r="AF7" s="2272"/>
      <c r="AG7" s="2114" t="s">
        <v>66</v>
      </c>
      <c r="AH7" s="2294"/>
      <c r="AI7" s="2114" t="s">
        <v>66</v>
      </c>
      <c r="AJ7" s="758"/>
      <c r="AK7" s="758"/>
      <c r="AL7" s="1264"/>
      <c r="AM7" s="2609"/>
      <c r="AN7" s="2114" t="s">
        <v>66</v>
      </c>
      <c r="AO7" s="2609"/>
      <c r="AP7" s="2114" t="s">
        <v>66</v>
      </c>
      <c r="AQ7" s="758"/>
      <c r="AR7" s="758"/>
      <c r="AS7" s="1264"/>
      <c r="AT7" s="2609"/>
      <c r="AU7" s="2114" t="s">
        <v>66</v>
      </c>
      <c r="AV7" s="2609"/>
      <c r="AW7" s="2114" t="s">
        <v>66</v>
      </c>
      <c r="AX7" s="758"/>
      <c r="AY7" s="758"/>
      <c r="AZ7" s="1264"/>
      <c r="BA7" s="2609"/>
      <c r="BB7" s="2114" t="s">
        <v>66</v>
      </c>
      <c r="BC7" s="2609"/>
      <c r="BD7" s="2114" t="s">
        <v>66</v>
      </c>
      <c r="BE7" s="758"/>
      <c r="BF7" s="758"/>
      <c r="BG7" s="1264"/>
      <c r="BH7" s="2609"/>
      <c r="BI7" s="2114" t="s">
        <v>66</v>
      </c>
      <c r="BJ7" s="2609"/>
      <c r="BK7" s="2114" t="s">
        <v>66</v>
      </c>
      <c r="BL7" s="758"/>
      <c r="BM7" s="758"/>
      <c r="BN7" s="1264"/>
      <c r="BO7" s="2609"/>
      <c r="BP7" s="2114" t="s">
        <v>66</v>
      </c>
      <c r="BQ7" s="2609"/>
      <c r="BR7" s="2114" t="s">
        <v>66</v>
      </c>
      <c r="BS7" s="758"/>
      <c r="BT7" s="758"/>
      <c r="BU7" s="1264"/>
      <c r="BV7" s="2609"/>
      <c r="BW7" s="2114" t="s">
        <v>66</v>
      </c>
      <c r="BX7" s="2609"/>
      <c r="BY7" s="2114" t="s">
        <v>66</v>
      </c>
      <c r="BZ7" s="758"/>
      <c r="CA7" s="758"/>
      <c r="CB7" s="1264"/>
      <c r="CC7" s="2609"/>
      <c r="CD7" s="2114" t="s">
        <v>66</v>
      </c>
      <c r="CE7" s="2609"/>
      <c r="CF7" s="2114" t="s">
        <v>66</v>
      </c>
      <c r="CG7" s="758"/>
      <c r="CH7" s="758"/>
      <c r="CI7" s="1264"/>
      <c r="CJ7" s="2609"/>
      <c r="CK7" s="2114" t="s">
        <v>66</v>
      </c>
      <c r="CL7" s="2609"/>
      <c r="CM7" s="2114" t="s">
        <v>66</v>
      </c>
      <c r="CN7" s="1445"/>
      <c r="CO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7" s="518">
        <f>STRCHECKDATE(V8:CN8)</f>
      </c>
      <c r="CQ7" s="507"/>
      <c r="CR7" s="507" t="str">
        <f>IF(T7="","",T7)</f>
        <v/>
      </c>
      <c r="CS7" s="507"/>
      <c r="CT7" s="507"/>
      <c r="CU7" s="1162">
        <v>0</v>
      </c>
    </row>
    <row customHeight="1" ht="14.25" hidden="1">
      <c r="A8" s="1370"/>
      <c r="B8" s="1370"/>
      <c r="C8" s="1370"/>
      <c r="D8" s="1370"/>
      <c r="E8" s="2266"/>
      <c r="F8" s="2266"/>
      <c r="G8" s="2266"/>
      <c r="H8" s="2266"/>
      <c r="I8" s="2293"/>
      <c r="J8" s="2293"/>
      <c r="K8" s="2263"/>
      <c r="L8" s="1371"/>
      <c r="P8" s="2264"/>
      <c r="Q8" s="2264"/>
      <c r="R8" s="364"/>
      <c r="S8" s="1431"/>
      <c r="T8" s="307"/>
      <c r="U8" s="307"/>
      <c r="V8" s="332"/>
      <c r="W8" s="332"/>
      <c r="X8" s="335" t="str">
        <f>Y7&amp;"-"&amp;AA7</f>
        <v>-</v>
      </c>
      <c r="Y8" s="2273"/>
      <c r="Z8" s="2114"/>
      <c r="AA8" s="2273"/>
      <c r="AB8" s="2114"/>
      <c r="AC8" s="332"/>
      <c r="AD8" s="332"/>
      <c r="AE8" s="335" t="str">
        <f>AF7&amp;"-"&amp;AH7</f>
        <v>-</v>
      </c>
      <c r="AF8" s="2273"/>
      <c r="AG8" s="2114"/>
      <c r="AH8" s="2295"/>
      <c r="AI8" s="2114"/>
      <c r="AJ8" s="332"/>
      <c r="AK8" s="332"/>
      <c r="AL8" s="335" t="str">
        <f>AM7&amp;"-"&amp;AO7</f>
        <v>-</v>
      </c>
      <c r="AM8" s="2316"/>
      <c r="AN8" s="2114"/>
      <c r="AO8" s="2316"/>
      <c r="AP8" s="2114"/>
      <c r="AQ8" s="332"/>
      <c r="AR8" s="332"/>
      <c r="AS8" s="335" t="str">
        <f>AT7&amp;"-"&amp;AV7</f>
        <v>-</v>
      </c>
      <c r="AT8" s="2316"/>
      <c r="AU8" s="2114"/>
      <c r="AV8" s="2316"/>
      <c r="AW8" s="2114"/>
      <c r="AX8" s="332"/>
      <c r="AY8" s="332"/>
      <c r="AZ8" s="335" t="str">
        <f>BA7&amp;"-"&amp;BC7</f>
        <v>-</v>
      </c>
      <c r="BA8" s="2316"/>
      <c r="BB8" s="2114"/>
      <c r="BC8" s="2316"/>
      <c r="BD8" s="2114"/>
      <c r="BE8" s="332"/>
      <c r="BF8" s="332"/>
      <c r="BG8" s="335" t="str">
        <f>BH7&amp;"-"&amp;BJ7</f>
        <v>-</v>
      </c>
      <c r="BH8" s="2316"/>
      <c r="BI8" s="2114"/>
      <c r="BJ8" s="2316"/>
      <c r="BK8" s="2114"/>
      <c r="BL8" s="332"/>
      <c r="BM8" s="332"/>
      <c r="BN8" s="335" t="str">
        <f>BO7&amp;"-"&amp;BQ7</f>
        <v>-</v>
      </c>
      <c r="BO8" s="2316"/>
      <c r="BP8" s="2114"/>
      <c r="BQ8" s="2316"/>
      <c r="BR8" s="2114"/>
      <c r="BS8" s="332"/>
      <c r="BT8" s="332"/>
      <c r="BU8" s="335" t="str">
        <f>BV7&amp;"-"&amp;BX7</f>
        <v>-</v>
      </c>
      <c r="BV8" s="2316"/>
      <c r="BW8" s="2114"/>
      <c r="BX8" s="2316"/>
      <c r="BY8" s="2114"/>
      <c r="BZ8" s="332"/>
      <c r="CA8" s="332"/>
      <c r="CB8" s="335" t="str">
        <f>CC7&amp;"-"&amp;CE7</f>
        <v>-</v>
      </c>
      <c r="CC8" s="2316"/>
      <c r="CD8" s="2114"/>
      <c r="CE8" s="2316"/>
      <c r="CF8" s="2114"/>
      <c r="CG8" s="332"/>
      <c r="CH8" s="332"/>
      <c r="CI8" s="335" t="str">
        <f>CJ7&amp;"-"&amp;CL7</f>
        <v>-</v>
      </c>
      <c r="CJ8" s="2316"/>
      <c r="CK8" s="2114"/>
      <c r="CL8" s="2316"/>
      <c r="CM8" s="2114"/>
      <c r="CN8" s="1446"/>
      <c r="CO8" s="2356"/>
      <c r="CQ8" s="507"/>
      <c r="CR8" s="507" t="str">
        <f>IF(T8="","",T8)</f>
        <v/>
      </c>
      <c r="CS8" s="507"/>
      <c r="CT8" s="507"/>
      <c r="CU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8994"/>
      <c r="AK9" s="8995"/>
      <c r="AL9" s="8996"/>
      <c r="AM9" s="8997"/>
      <c r="AN9" s="8998"/>
      <c r="AO9" s="8999"/>
      <c r="AP9" s="9000"/>
      <c r="AQ9" s="9001"/>
      <c r="AR9" s="9002"/>
      <c r="AS9" s="9003"/>
      <c r="AT9" s="9004"/>
      <c r="AU9" s="9005"/>
      <c r="AV9" s="9006"/>
      <c r="AW9" s="9007"/>
      <c r="AX9" s="9008"/>
      <c r="AY9" s="9009"/>
      <c r="AZ9" s="9010"/>
      <c r="BA9" s="9011"/>
      <c r="BB9" s="9012"/>
      <c r="BC9" s="9013"/>
      <c r="BD9" s="9014"/>
      <c r="BE9" s="9015"/>
      <c r="BF9" s="9016"/>
      <c r="BG9" s="9017"/>
      <c r="BH9" s="9018"/>
      <c r="BI9" s="9019"/>
      <c r="BJ9" s="9020"/>
      <c r="BK9" s="9021"/>
      <c r="BL9" s="9022"/>
      <c r="BM9" s="9023"/>
      <c r="BN9" s="9024"/>
      <c r="BO9" s="9025"/>
      <c r="BP9" s="9026"/>
      <c r="BQ9" s="9027"/>
      <c r="BR9" s="9028"/>
      <c r="BS9" s="9029"/>
      <c r="BT9" s="9030"/>
      <c r="BU9" s="9031"/>
      <c r="BV9" s="9032"/>
      <c r="BW9" s="9033"/>
      <c r="BX9" s="9034"/>
      <c r="BY9" s="9035"/>
      <c r="BZ9" s="9036"/>
      <c r="CA9" s="9037"/>
      <c r="CB9" s="9038"/>
      <c r="CC9" s="9039"/>
      <c r="CD9" s="9040"/>
      <c r="CE9" s="9041"/>
      <c r="CF9" s="9042"/>
      <c r="CG9" s="9043"/>
      <c r="CH9" s="9044"/>
      <c r="CI9" s="9045"/>
      <c r="CJ9" s="9046"/>
      <c r="CK9" s="9047"/>
      <c r="CL9" s="9048"/>
      <c r="CM9" s="12691"/>
      <c r="CN9" s="374"/>
      <c r="CO9" s="1265" t="s">
        <v>647</v>
      </c>
      <c r="CQ9" s="507"/>
      <c r="CR9" s="507" t="str">
        <f>IF(T9="","",T9)</f>
        <v>Добавить значение признака дифференциации</v>
      </c>
      <c r="CS9" s="507"/>
      <c r="CT9" s="507"/>
      <c r="CU9" s="1162">
        <v>0</v>
      </c>
    </row>
    <row customHeight="1" ht="21" hidden="1">
      <c r="A10" s="1370"/>
      <c r="B10" s="1370"/>
      <c r="C10" s="1370"/>
      <c r="D10" s="1370"/>
      <c r="E10" s="2266"/>
      <c r="F10" s="2266"/>
      <c r="G10" s="2266"/>
      <c r="H10" s="2266"/>
      <c r="I10" s="2263"/>
      <c r="J10" s="1370"/>
      <c r="K10" s="1370"/>
      <c r="L10" s="1371"/>
      <c r="P10" s="2264"/>
      <c r="Q10" s="1429"/>
      <c r="R10" s="363"/>
      <c r="S10" s="1285"/>
      <c r="T10" s="372" t="s">
        <v>575</v>
      </c>
      <c r="U10" s="374"/>
      <c r="V10" s="374"/>
      <c r="W10" s="374"/>
      <c r="X10" s="374"/>
      <c r="Y10" s="374"/>
      <c r="Z10" s="374"/>
      <c r="AA10" s="374"/>
      <c r="AB10" s="373"/>
      <c r="AC10" s="374"/>
      <c r="AD10" s="374"/>
      <c r="AE10" s="374"/>
      <c r="AF10" s="374"/>
      <c r="AG10" s="374"/>
      <c r="AH10" s="374"/>
      <c r="AI10" s="373"/>
      <c r="AJ10" s="9050"/>
      <c r="AK10" s="9051"/>
      <c r="AL10" s="9052"/>
      <c r="AM10" s="9053"/>
      <c r="AN10" s="9054"/>
      <c r="AO10" s="9055"/>
      <c r="AP10" s="9056"/>
      <c r="AQ10" s="9057"/>
      <c r="AR10" s="9058"/>
      <c r="AS10" s="9059"/>
      <c r="AT10" s="9060"/>
      <c r="AU10" s="9061"/>
      <c r="AV10" s="9062"/>
      <c r="AW10" s="9063"/>
      <c r="AX10" s="9064"/>
      <c r="AY10" s="9065"/>
      <c r="AZ10" s="9066"/>
      <c r="BA10" s="9067"/>
      <c r="BB10" s="9068"/>
      <c r="BC10" s="9069"/>
      <c r="BD10" s="9070"/>
      <c r="BE10" s="9071"/>
      <c r="BF10" s="9072"/>
      <c r="BG10" s="9073"/>
      <c r="BH10" s="9074"/>
      <c r="BI10" s="9075"/>
      <c r="BJ10" s="9076"/>
      <c r="BK10" s="9077"/>
      <c r="BL10" s="9078"/>
      <c r="BM10" s="9079"/>
      <c r="BN10" s="9080"/>
      <c r="BO10" s="9081"/>
      <c r="BP10" s="9082"/>
      <c r="BQ10" s="9083"/>
      <c r="BR10" s="9084"/>
      <c r="BS10" s="9085"/>
      <c r="BT10" s="9086"/>
      <c r="BU10" s="9087"/>
      <c r="BV10" s="9088"/>
      <c r="BW10" s="9089"/>
      <c r="BX10" s="9090"/>
      <c r="BY10" s="9091"/>
      <c r="BZ10" s="9092"/>
      <c r="CA10" s="9093"/>
      <c r="CB10" s="9094"/>
      <c r="CC10" s="9095"/>
      <c r="CD10" s="9096"/>
      <c r="CE10" s="9097"/>
      <c r="CF10" s="9098"/>
      <c r="CG10" s="9099"/>
      <c r="CH10" s="9100"/>
      <c r="CI10" s="9101"/>
      <c r="CJ10" s="9102"/>
      <c r="CK10" s="9103"/>
      <c r="CL10" s="9104"/>
      <c r="CM10" s="12692"/>
      <c r="CN10" s="374"/>
      <c r="CO10" s="1447"/>
      <c r="CQ10" s="507"/>
      <c r="CR10" s="507" t="str">
        <f>IF(T10="","",T10)</f>
        <v>Добавить группу потребителей</v>
      </c>
      <c r="CS10" s="507"/>
      <c r="CT10" s="507"/>
      <c r="CU10" s="1162">
        <v>0</v>
      </c>
    </row>
    <row customHeight="1" ht="14.25"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9106"/>
      <c r="AK11" s="9107"/>
      <c r="AL11" s="9108"/>
      <c r="AM11" s="9109"/>
      <c r="AN11" s="9110"/>
      <c r="AO11" s="9111"/>
      <c r="AP11" s="9112"/>
      <c r="AQ11" s="9113"/>
      <c r="AR11" s="9114"/>
      <c r="AS11" s="9115"/>
      <c r="AT11" s="9116"/>
      <c r="AU11" s="9117"/>
      <c r="AV11" s="9118"/>
      <c r="AW11" s="9119"/>
      <c r="AX11" s="9120"/>
      <c r="AY11" s="9121"/>
      <c r="AZ11" s="9122"/>
      <c r="BA11" s="9123"/>
      <c r="BB11" s="9124"/>
      <c r="BC11" s="9125"/>
      <c r="BD11" s="9126"/>
      <c r="BE11" s="9127"/>
      <c r="BF11" s="9128"/>
      <c r="BG11" s="9129"/>
      <c r="BH11" s="9130"/>
      <c r="BI11" s="9131"/>
      <c r="BJ11" s="9132"/>
      <c r="BK11" s="9133"/>
      <c r="BL11" s="9134"/>
      <c r="BM11" s="9135"/>
      <c r="BN11" s="9136"/>
      <c r="BO11" s="9137"/>
      <c r="BP11" s="9138"/>
      <c r="BQ11" s="9139"/>
      <c r="BR11" s="9140"/>
      <c r="BS11" s="9141"/>
      <c r="BT11" s="9142"/>
      <c r="BU11" s="9143"/>
      <c r="BV11" s="9144"/>
      <c r="BW11" s="9145"/>
      <c r="BX11" s="9146"/>
      <c r="BY11" s="9147"/>
      <c r="BZ11" s="9148"/>
      <c r="CA11" s="9149"/>
      <c r="CB11" s="9150"/>
      <c r="CC11" s="9151"/>
      <c r="CD11" s="9152"/>
      <c r="CE11" s="9153"/>
      <c r="CF11" s="9154"/>
      <c r="CG11" s="9155"/>
      <c r="CH11" s="9156"/>
      <c r="CI11" s="9157"/>
      <c r="CJ11" s="9158"/>
      <c r="CK11" s="9159"/>
      <c r="CL11" s="9160"/>
      <c r="CM11" s="12693"/>
      <c r="CN11" s="374"/>
      <c r="CO11" s="310"/>
      <c r="CQ11" s="507"/>
      <c r="CR11" s="507" t="str">
        <f>IF(T11="","",T11)</f>
        <v>Добавить наименование признака дифференциации</v>
      </c>
      <c r="CS11" s="507"/>
      <c r="CT11" s="507"/>
      <c r="CU11" s="1162">
        <v>0</v>
      </c>
    </row>
    <row s="1649" customFormat="1" customHeight="1" ht="14.25" hidden="1">
      <c r="A12" s="1350"/>
      <c r="B12" s="1350"/>
      <c r="C12" s="1321"/>
      <c r="D12" s="1321"/>
      <c r="E12" s="2266"/>
      <c r="F12" s="2265"/>
      <c r="G12" s="1321"/>
      <c r="H12" s="1321"/>
      <c r="I12" s="1321"/>
      <c r="J12" s="1321"/>
      <c r="K12" s="1321"/>
      <c r="L12" s="1433"/>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L12" s="1331"/>
      <c r="AM12" s="1331"/>
      <c r="AN12" s="1331"/>
      <c r="AO12" s="1331"/>
      <c r="AP12" s="1331"/>
      <c r="AQ12" s="1331"/>
      <c r="AR12" s="1331"/>
      <c r="AS12" s="1331"/>
      <c r="AT12" s="1331"/>
      <c r="AU12" s="1331"/>
      <c r="AV12" s="1331"/>
      <c r="AW12" s="1331"/>
      <c r="AX12" s="1331"/>
      <c r="AY12" s="1331"/>
      <c r="AZ12" s="1331"/>
      <c r="BA12" s="1331"/>
      <c r="BB12" s="1331"/>
      <c r="BC12" s="1331"/>
      <c r="BD12" s="1331"/>
      <c r="BE12" s="1331"/>
      <c r="BF12" s="1331"/>
      <c r="BG12" s="1331"/>
      <c r="BH12" s="1331"/>
      <c r="BI12" s="1331"/>
      <c r="BJ12" s="1331"/>
      <c r="BK12" s="1331"/>
      <c r="BL12" s="1331"/>
      <c r="BM12" s="1331"/>
      <c r="BN12" s="1331"/>
      <c r="BO12" s="1331"/>
      <c r="BP12" s="1331"/>
      <c r="BQ12" s="1331"/>
      <c r="BR12" s="1331"/>
      <c r="BS12" s="1331"/>
      <c r="BT12" s="1331"/>
      <c r="BU12" s="1331"/>
      <c r="BV12" s="1331"/>
      <c r="BW12" s="1331"/>
      <c r="BX12" s="1331"/>
      <c r="BY12" s="1331"/>
      <c r="BZ12" s="1331"/>
      <c r="CA12" s="1331"/>
      <c r="CB12" s="1331"/>
      <c r="CC12" s="1331"/>
      <c r="CD12" s="1331"/>
      <c r="CE12" s="1331"/>
      <c r="CF12" s="1331"/>
      <c r="CG12" s="1331"/>
      <c r="CH12" s="1331"/>
      <c r="CI12" s="1331"/>
      <c r="CJ12" s="1331"/>
      <c r="CK12" s="1331"/>
      <c r="CL12" s="1331"/>
      <c r="CM12" s="1331"/>
      <c r="CN12" s="1331"/>
      <c r="CO12" s="1331"/>
      <c r="CQ12" s="796"/>
      <c r="CR12" s="796" t="str">
        <f>IF(T12="","",T12)</f>
        <v>Добавить централизованную систему для дифференциации</v>
      </c>
      <c r="CS12" s="796"/>
      <c r="CT12" s="796"/>
      <c r="CU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L13" s="1331"/>
      <c r="AM13" s="1331"/>
      <c r="AN13" s="1331"/>
      <c r="AO13" s="1331"/>
      <c r="AP13" s="1331"/>
      <c r="AQ13" s="1331"/>
      <c r="AR13" s="1331"/>
      <c r="AS13" s="1331"/>
      <c r="AT13" s="1331"/>
      <c r="AU13" s="1331"/>
      <c r="AV13" s="1331"/>
      <c r="AW13" s="1331"/>
      <c r="AX13" s="1331"/>
      <c r="AY13" s="1331"/>
      <c r="AZ13" s="1331"/>
      <c r="BA13" s="1331"/>
      <c r="BB13" s="1331"/>
      <c r="BC13" s="1331"/>
      <c r="BD13" s="1331"/>
      <c r="BE13" s="1331"/>
      <c r="BF13" s="1331"/>
      <c r="BG13" s="1331"/>
      <c r="BH13" s="1331"/>
      <c r="BI13" s="1331"/>
      <c r="BJ13" s="1331"/>
      <c r="BK13" s="1331"/>
      <c r="BL13" s="1331"/>
      <c r="BM13" s="1331"/>
      <c r="BN13" s="1331"/>
      <c r="BO13" s="1331"/>
      <c r="BP13" s="1331"/>
      <c r="BQ13" s="1331"/>
      <c r="BR13" s="1331"/>
      <c r="BS13" s="1331"/>
      <c r="BT13" s="1331"/>
      <c r="BU13" s="1331"/>
      <c r="BV13" s="1331"/>
      <c r="BW13" s="1331"/>
      <c r="BX13" s="1331"/>
      <c r="BY13" s="1331"/>
      <c r="BZ13" s="1331"/>
      <c r="CA13" s="1331"/>
      <c r="CB13" s="1331"/>
      <c r="CC13" s="1331"/>
      <c r="CD13" s="1331"/>
      <c r="CE13" s="1331"/>
      <c r="CF13" s="1331"/>
      <c r="CG13" s="1331"/>
      <c r="CH13" s="1331"/>
      <c r="CI13" s="1331"/>
      <c r="CJ13" s="1331"/>
      <c r="CK13" s="1331"/>
      <c r="CL13" s="1331"/>
      <c r="CM13" s="1331"/>
      <c r="CN13" s="1331"/>
      <c r="CO13" s="1331"/>
      <c r="CQ13" s="507"/>
      <c r="CR13" s="507" t="str">
        <f>IF(T13="","",T13)</f>
        <v>Добавить территорию для дифференциации</v>
      </c>
      <c r="CS13" s="507"/>
      <c r="CT13" s="507"/>
      <c r="CU13" s="518">
        <v>0</v>
      </c>
    </row>
    <row customHeight="1" ht="14.25" hidden="1">
      <c r="AB14" s="334"/>
      <c r="AI14" s="334"/>
      <c r="AJ14" s="1642"/>
      <c r="AK14" s="1642"/>
      <c r="AL14" s="1642"/>
      <c r="AM14" s="1642"/>
      <c r="AN14" s="1642"/>
      <c r="AO14" s="1642"/>
      <c r="AP14" s="1642"/>
      <c r="AQ14" s="1642"/>
      <c r="AR14" s="1642"/>
      <c r="AS14" s="1642"/>
      <c r="AT14" s="1642"/>
      <c r="AU14" s="1642"/>
      <c r="AV14" s="1642"/>
      <c r="AW14" s="1642"/>
      <c r="AX14" s="1642"/>
      <c r="AY14" s="1642"/>
      <c r="AZ14" s="1642"/>
      <c r="BA14" s="1642"/>
      <c r="BB14" s="1642"/>
      <c r="BC14" s="1642"/>
      <c r="BD14" s="1642"/>
      <c r="BE14" s="1642"/>
      <c r="BF14" s="1642"/>
      <c r="BG14" s="1642"/>
      <c r="BH14" s="1642"/>
      <c r="BI14" s="1642"/>
      <c r="BJ14" s="1642"/>
      <c r="BK14" s="1642"/>
      <c r="BL14" s="1642"/>
      <c r="BM14" s="1642"/>
      <c r="BN14" s="1642"/>
      <c r="BO14" s="1642"/>
      <c r="BP14" s="1642"/>
      <c r="BQ14" s="1642"/>
      <c r="BR14" s="1642"/>
      <c r="BS14" s="1642"/>
      <c r="BT14" s="1642"/>
      <c r="BU14" s="1642"/>
      <c r="BV14" s="1642"/>
      <c r="BW14" s="1642"/>
      <c r="BX14" s="1642"/>
      <c r="BY14" s="1642"/>
      <c r="BZ14" s="1642"/>
      <c r="CA14" s="1642"/>
      <c r="CB14" s="1642"/>
      <c r="CC14" s="1642"/>
      <c r="CD14" s="1642"/>
      <c r="CE14" s="1642"/>
      <c r="CF14" s="1642"/>
      <c r="CG14" s="1642"/>
      <c r="CH14" s="1642"/>
      <c r="CI14" s="1642"/>
      <c r="CJ14" s="1642"/>
      <c r="CK14" s="1642"/>
      <c r="CL14" s="1642"/>
      <c r="CM14" s="4489"/>
      <c r="CU14" s="1162">
        <v>0</v>
      </c>
    </row>
    <row customHeight="1" ht="14.25" hidden="1">
      <c r="AC15" s="1367"/>
      <c r="AD15" s="1367"/>
      <c r="AE15" s="1368"/>
      <c r="AF15" s="2274"/>
      <c r="AG15" s="2275" t="s">
        <v>66</v>
      </c>
      <c r="AH15" s="2274"/>
      <c r="AI15" s="2275" t="s">
        <v>66</v>
      </c>
      <c r="AJ15" s="1642"/>
      <c r="AK15" s="1642"/>
      <c r="AL15" s="1642"/>
      <c r="AM15" s="1642"/>
      <c r="AN15" s="1642"/>
      <c r="AO15" s="1642"/>
      <c r="AP15" s="1642"/>
      <c r="AQ15" s="1642"/>
      <c r="AR15" s="1642"/>
      <c r="AS15" s="1642"/>
      <c r="AT15" s="1642"/>
      <c r="AU15" s="1642"/>
      <c r="AV15" s="1642"/>
      <c r="AW15" s="1642"/>
      <c r="AX15" s="1642"/>
      <c r="AY15" s="1642"/>
      <c r="AZ15" s="1642"/>
      <c r="BA15" s="1642"/>
      <c r="BB15" s="1642"/>
      <c r="BC15" s="1642"/>
      <c r="BD15" s="1642"/>
      <c r="BE15" s="1642"/>
      <c r="BF15" s="1642"/>
      <c r="BG15" s="1642"/>
      <c r="BH15" s="1642"/>
      <c r="BI15" s="1642"/>
      <c r="BJ15" s="1642"/>
      <c r="BK15" s="1642"/>
      <c r="BL15" s="1642"/>
      <c r="BM15" s="1642"/>
      <c r="BN15" s="1642"/>
      <c r="BO15" s="1642"/>
      <c r="BP15" s="1642"/>
      <c r="BQ15" s="1642"/>
      <c r="BR15" s="1642"/>
      <c r="BS15" s="1642"/>
      <c r="BT15" s="1642"/>
      <c r="BU15" s="1642"/>
      <c r="BV15" s="1642"/>
      <c r="BW15" s="1642"/>
      <c r="BX15" s="1642"/>
      <c r="BY15" s="1642"/>
      <c r="BZ15" s="1642"/>
      <c r="CA15" s="1642"/>
      <c r="CB15" s="1642"/>
      <c r="CC15" s="1642"/>
      <c r="CD15" s="1642"/>
      <c r="CE15" s="1642"/>
      <c r="CF15" s="1642"/>
      <c r="CG15" s="1642"/>
      <c r="CH15" s="1642"/>
      <c r="CI15" s="1642"/>
      <c r="CJ15" s="1642"/>
      <c r="CK15" s="1642"/>
      <c r="CL15" s="1642"/>
      <c r="CM15" s="4489"/>
      <c r="CU15" s="1162">
        <v>0</v>
      </c>
    </row>
    <row customHeight="1" ht="14.25" hidden="1">
      <c r="AC16" s="1367"/>
      <c r="AD16" s="1367"/>
      <c r="AE16" s="335" t="str">
        <f>AF15&amp;"-"&amp;AH15</f>
        <v>-</v>
      </c>
      <c r="AF16" s="2275"/>
      <c r="AG16" s="2275"/>
      <c r="AH16" s="2275"/>
      <c r="AI16" s="2275"/>
      <c r="AJ16" s="1642"/>
      <c r="AK16" s="1642"/>
      <c r="AL16" s="1642"/>
      <c r="AM16" s="1642"/>
      <c r="AN16" s="1642"/>
      <c r="AO16" s="1642"/>
      <c r="AP16" s="1642"/>
      <c r="AQ16" s="1642"/>
      <c r="AR16" s="1642"/>
      <c r="AS16" s="1642"/>
      <c r="AT16" s="1642"/>
      <c r="AU16" s="1642"/>
      <c r="AV16" s="1642"/>
      <c r="AW16" s="1642"/>
      <c r="AX16" s="1642"/>
      <c r="AY16" s="1642"/>
      <c r="AZ16" s="1642"/>
      <c r="BA16" s="1642"/>
      <c r="BB16" s="1642"/>
      <c r="BC16" s="1642"/>
      <c r="BD16" s="1642"/>
      <c r="BE16" s="1642"/>
      <c r="BF16" s="1642"/>
      <c r="BG16" s="1642"/>
      <c r="BH16" s="1642"/>
      <c r="BI16" s="1642"/>
      <c r="BJ16" s="1642"/>
      <c r="BK16" s="1642"/>
      <c r="BL16" s="1642"/>
      <c r="BM16" s="1642"/>
      <c r="BN16" s="1642"/>
      <c r="BO16" s="1642"/>
      <c r="BP16" s="1642"/>
      <c r="BQ16" s="1642"/>
      <c r="BR16" s="1642"/>
      <c r="BS16" s="1642"/>
      <c r="BT16" s="1642"/>
      <c r="BU16" s="1642"/>
      <c r="BV16" s="1642"/>
      <c r="BW16" s="1642"/>
      <c r="BX16" s="1642"/>
      <c r="BY16" s="1642"/>
      <c r="BZ16" s="1642"/>
      <c r="CA16" s="1642"/>
      <c r="CB16" s="1642"/>
      <c r="CC16" s="1642"/>
      <c r="CD16" s="1642"/>
      <c r="CE16" s="1642"/>
      <c r="CF16" s="1642"/>
      <c r="CG16" s="1642"/>
      <c r="CH16" s="1642"/>
      <c r="CI16" s="1642"/>
      <c r="CJ16" s="1642"/>
      <c r="CK16" s="1642"/>
      <c r="CL16" s="1642"/>
      <c r="CM16" s="4489"/>
      <c r="CU16" s="1162">
        <v>0</v>
      </c>
    </row>
    <row customHeight="1" ht="14.25" hidden="1">
      <c r="AI17" s="334"/>
      <c r="AJ17" s="1642"/>
      <c r="AK17" s="1642"/>
      <c r="AL17" s="1642"/>
      <c r="AM17" s="1642"/>
      <c r="AN17" s="1642"/>
      <c r="AO17" s="1642"/>
      <c r="AP17" s="1642"/>
      <c r="AQ17" s="1642"/>
      <c r="AR17" s="1642"/>
      <c r="AS17" s="1642"/>
      <c r="AT17" s="1642"/>
      <c r="AU17" s="1642"/>
      <c r="AV17" s="1642"/>
      <c r="AW17" s="1642"/>
      <c r="AX17" s="1642"/>
      <c r="AY17" s="1642"/>
      <c r="AZ17" s="1642"/>
      <c r="BA17" s="1642"/>
      <c r="BB17" s="1642"/>
      <c r="BC17" s="1642"/>
      <c r="BD17" s="1642"/>
      <c r="BE17" s="1642"/>
      <c r="BF17" s="1642"/>
      <c r="BG17" s="1642"/>
      <c r="BH17" s="1642"/>
      <c r="BI17" s="1642"/>
      <c r="BJ17" s="1642"/>
      <c r="BK17" s="1642"/>
      <c r="BL17" s="1642"/>
      <c r="BM17" s="1642"/>
      <c r="BN17" s="1642"/>
      <c r="BO17" s="1642"/>
      <c r="BP17" s="1642"/>
      <c r="BQ17" s="1642"/>
      <c r="BR17" s="1642"/>
      <c r="BS17" s="1642"/>
      <c r="BT17" s="1642"/>
      <c r="BU17" s="1642"/>
      <c r="BV17" s="1642"/>
      <c r="BW17" s="1642"/>
      <c r="BX17" s="1642"/>
      <c r="BY17" s="1642"/>
      <c r="BZ17" s="1642"/>
      <c r="CA17" s="1642"/>
      <c r="CB17" s="1642"/>
      <c r="CC17" s="1642"/>
      <c r="CD17" s="1642"/>
      <c r="CE17" s="1642"/>
      <c r="CF17" s="1642"/>
      <c r="CG17" s="1642"/>
      <c r="CH17" s="1642"/>
      <c r="CI17" s="1642"/>
      <c r="CJ17" s="1642"/>
      <c r="CK17" s="1642"/>
      <c r="CL17" s="1642"/>
      <c r="CM17" s="4489"/>
      <c r="CU17" s="1162">
        <v>0</v>
      </c>
    </row>
    <row s="1373" customFormat="1" customHeight="1" ht="22.5" hidden="1">
      <c r="L18" s="1428"/>
      <c r="M18" s="1369"/>
      <c r="N18" s="1369"/>
      <c r="O18" s="1374" t="s">
        <v>578</v>
      </c>
      <c r="P18" s="1369"/>
      <c r="Q18" s="1378"/>
      <c r="R18" s="1378"/>
      <c r="S18" s="736"/>
      <c r="Y18" s="1374"/>
      <c r="AA18" s="1374"/>
      <c r="AB18" s="1373"/>
      <c r="AF18" s="1374"/>
      <c r="AH18" s="1374"/>
      <c r="AI18" s="1373"/>
      <c r="AJ18" s="1373"/>
      <c r="AK18" s="1373"/>
      <c r="AL18" s="1373"/>
      <c r="AM18" s="1374"/>
      <c r="AN18" s="1373"/>
      <c r="AO18" s="1374"/>
      <c r="AP18" s="1373"/>
      <c r="AQ18" s="1373"/>
      <c r="AR18" s="1373"/>
      <c r="AS18" s="1373"/>
      <c r="AT18" s="1374"/>
      <c r="AU18" s="1373"/>
      <c r="AV18" s="1374"/>
      <c r="AW18" s="1373"/>
      <c r="AX18" s="1373"/>
      <c r="AY18" s="1373"/>
      <c r="AZ18" s="1373"/>
      <c r="BA18" s="1374"/>
      <c r="BB18" s="1373"/>
      <c r="BC18" s="1374"/>
      <c r="BD18" s="1373"/>
      <c r="BE18" s="1373"/>
      <c r="BF18" s="1373"/>
      <c r="BG18" s="1373"/>
      <c r="BH18" s="1374"/>
      <c r="BI18" s="1373"/>
      <c r="BJ18" s="1374"/>
      <c r="BK18" s="1373"/>
      <c r="BL18" s="1373"/>
      <c r="BM18" s="1373"/>
      <c r="BN18" s="1373"/>
      <c r="BO18" s="1374"/>
      <c r="BP18" s="1373"/>
      <c r="BQ18" s="1374"/>
      <c r="BR18" s="1373"/>
      <c r="BS18" s="1373"/>
      <c r="BT18" s="1373"/>
      <c r="BU18" s="1373"/>
      <c r="BV18" s="1374"/>
      <c r="BW18" s="1373"/>
      <c r="BX18" s="1374"/>
      <c r="BY18" s="1373"/>
      <c r="BZ18" s="1373"/>
      <c r="CA18" s="1373"/>
      <c r="CB18" s="1373"/>
      <c r="CC18" s="1374"/>
      <c r="CD18" s="1373"/>
      <c r="CE18" s="1374"/>
      <c r="CF18" s="1373"/>
      <c r="CG18" s="1373"/>
      <c r="CH18" s="1373"/>
      <c r="CI18" s="1373"/>
      <c r="CJ18" s="1374"/>
      <c r="CK18" s="1373"/>
      <c r="CL18" s="1374"/>
      <c r="CM18" s="4517"/>
      <c r="CP18" s="518"/>
      <c r="CQ18" s="518"/>
      <c r="CR18" s="518"/>
      <c r="CS18" s="518"/>
      <c r="CT18" s="518"/>
      <c r="CU18" s="1167">
        <v>0</v>
      </c>
    </row>
    <row s="1373" customFormat="1" customHeight="1" ht="14.25" hidden="1">
      <c r="L19" s="1428"/>
      <c r="M19" s="1369"/>
      <c r="N19" s="1369"/>
      <c r="O19" s="1369"/>
      <c r="P19" s="1369"/>
      <c r="Q19" s="1378"/>
      <c r="R19" s="1378"/>
      <c r="S19" s="736"/>
      <c r="AB19" s="1373"/>
      <c r="AI19" s="1373"/>
      <c r="AJ19" s="1373"/>
      <c r="AK19" s="1373"/>
      <c r="AL19" s="1373"/>
      <c r="AM19" s="1373"/>
      <c r="AN19" s="1373"/>
      <c r="AO19" s="1373"/>
      <c r="AP19" s="1373"/>
      <c r="AQ19" s="1373"/>
      <c r="AR19" s="1373"/>
      <c r="AS19" s="1373"/>
      <c r="AT19" s="1373"/>
      <c r="AU19" s="1373"/>
      <c r="AV19" s="1373"/>
      <c r="AW19" s="1373"/>
      <c r="AX19" s="1373"/>
      <c r="AY19" s="1373"/>
      <c r="AZ19" s="1373"/>
      <c r="BA19" s="1373"/>
      <c r="BB19" s="1373"/>
      <c r="BC19" s="1373"/>
      <c r="BD19" s="1373"/>
      <c r="BE19" s="1373"/>
      <c r="BF19" s="1373"/>
      <c r="BG19" s="1373"/>
      <c r="BH19" s="1373"/>
      <c r="BI19" s="1373"/>
      <c r="BJ19" s="1373"/>
      <c r="BK19" s="1373"/>
      <c r="BL19" s="1373"/>
      <c r="BM19" s="1373"/>
      <c r="BN19" s="1373"/>
      <c r="BO19" s="1373"/>
      <c r="BP19" s="1373"/>
      <c r="BQ19" s="1373"/>
      <c r="BR19" s="1373"/>
      <c r="BS19" s="1373"/>
      <c r="BT19" s="1373"/>
      <c r="BU19" s="1373"/>
      <c r="BV19" s="1373"/>
      <c r="BW19" s="1373"/>
      <c r="BX19" s="1373"/>
      <c r="BY19" s="1373"/>
      <c r="BZ19" s="1373"/>
      <c r="CA19" s="1373"/>
      <c r="CB19" s="1373"/>
      <c r="CC19" s="1373"/>
      <c r="CD19" s="1373"/>
      <c r="CE19" s="1373"/>
      <c r="CF19" s="1373"/>
      <c r="CG19" s="1373"/>
      <c r="CH19" s="1373"/>
      <c r="CI19" s="1373"/>
      <c r="CJ19" s="1373"/>
      <c r="CK19" s="1373"/>
      <c r="CL19" s="1373"/>
      <c r="CM19" s="4517"/>
      <c r="CP19" s="518"/>
      <c r="CQ19" s="518"/>
      <c r="CR19" s="518"/>
      <c r="CS19" s="518"/>
      <c r="CT19" s="518"/>
      <c r="CU19" s="1167">
        <v>0</v>
      </c>
    </row>
    <row s="1373" customFormat="1" customHeight="1" ht="12" hidden="1">
      <c r="L20" s="1428"/>
      <c r="M20" s="1369"/>
      <c r="N20" s="1369"/>
      <c r="O20" s="1371" t="s">
        <v>579</v>
      </c>
      <c r="P20" s="1369"/>
      <c r="Q20" s="1449"/>
      <c r="R20" s="1449"/>
      <c r="S20" s="736"/>
      <c r="T20" s="1167" t="s">
        <v>580</v>
      </c>
      <c r="Z20" s="193" t="s">
        <v>581</v>
      </c>
      <c r="AB20" s="193" t="s">
        <v>582</v>
      </c>
      <c r="AC20" s="1167" t="s">
        <v>580</v>
      </c>
      <c r="AG20" s="193" t="s">
        <v>583</v>
      </c>
      <c r="AI20" s="193" t="s">
        <v>582</v>
      </c>
      <c r="AJ20" s="1373"/>
      <c r="AK20" s="1373"/>
      <c r="AL20" s="1373"/>
      <c r="AM20" s="1373"/>
      <c r="AN20" s="1377" t="s">
        <v>581</v>
      </c>
      <c r="AO20" s="1373"/>
      <c r="AP20" s="1377" t="s">
        <v>582</v>
      </c>
      <c r="AQ20" s="1373"/>
      <c r="AR20" s="1373"/>
      <c r="AS20" s="1373"/>
      <c r="AT20" s="1373"/>
      <c r="AU20" s="1377" t="s">
        <v>581</v>
      </c>
      <c r="AV20" s="1373"/>
      <c r="AW20" s="1377" t="s">
        <v>582</v>
      </c>
      <c r="AX20" s="1373"/>
      <c r="AY20" s="1373"/>
      <c r="AZ20" s="1373"/>
      <c r="BA20" s="1373"/>
      <c r="BB20" s="1377" t="s">
        <v>581</v>
      </c>
      <c r="BC20" s="1373"/>
      <c r="BD20" s="1377" t="s">
        <v>582</v>
      </c>
      <c r="BE20" s="1373"/>
      <c r="BF20" s="1373"/>
      <c r="BG20" s="1373"/>
      <c r="BH20" s="1373"/>
      <c r="BI20" s="1377" t="s">
        <v>581</v>
      </c>
      <c r="BJ20" s="1373"/>
      <c r="BK20" s="1377" t="s">
        <v>582</v>
      </c>
      <c r="BL20" s="1373"/>
      <c r="BM20" s="1373"/>
      <c r="BN20" s="1373"/>
      <c r="BO20" s="1373"/>
      <c r="BP20" s="1377" t="s">
        <v>581</v>
      </c>
      <c r="BQ20" s="1373"/>
      <c r="BR20" s="1377" t="s">
        <v>582</v>
      </c>
      <c r="BS20" s="1373"/>
      <c r="BT20" s="1373"/>
      <c r="BU20" s="1373"/>
      <c r="BV20" s="1373"/>
      <c r="BW20" s="1377" t="s">
        <v>581</v>
      </c>
      <c r="BX20" s="1373"/>
      <c r="BY20" s="1377" t="s">
        <v>582</v>
      </c>
      <c r="BZ20" s="1373"/>
      <c r="CA20" s="1373"/>
      <c r="CB20" s="1373"/>
      <c r="CC20" s="1373"/>
      <c r="CD20" s="1377" t="s">
        <v>581</v>
      </c>
      <c r="CE20" s="1373"/>
      <c r="CF20" s="1377" t="s">
        <v>582</v>
      </c>
      <c r="CG20" s="1373"/>
      <c r="CH20" s="1373"/>
      <c r="CI20" s="1373"/>
      <c r="CJ20" s="1373"/>
      <c r="CK20" s="1377" t="s">
        <v>581</v>
      </c>
      <c r="CL20" s="1373"/>
      <c r="CM20" s="4519" t="s">
        <v>582</v>
      </c>
      <c r="CU20" s="1167">
        <v>0</v>
      </c>
    </row>
    <row customHeight="1" ht="14.25" hidden="1">
      <c r="O21" s="1371"/>
      <c r="AJ21" s="1642"/>
      <c r="AK21" s="1642"/>
      <c r="AL21" s="1642"/>
      <c r="AM21" s="1642"/>
      <c r="AN21" s="1642"/>
      <c r="AO21" s="1642"/>
      <c r="AP21" s="1642"/>
      <c r="AQ21" s="1642"/>
      <c r="AR21" s="1642"/>
      <c r="AS21" s="1642"/>
      <c r="AT21" s="1642"/>
      <c r="AU21" s="1642"/>
      <c r="AV21" s="1642"/>
      <c r="AW21" s="1642"/>
      <c r="AX21" s="1642"/>
      <c r="AY21" s="1642"/>
      <c r="AZ21" s="1642"/>
      <c r="BA21" s="1642"/>
      <c r="BB21" s="1642"/>
      <c r="BC21" s="1642"/>
      <c r="BD21" s="1642"/>
      <c r="BE21" s="1642"/>
      <c r="BF21" s="1642"/>
      <c r="BG21" s="1642"/>
      <c r="BH21" s="1642"/>
      <c r="BI21" s="1642"/>
      <c r="BJ21" s="1642"/>
      <c r="BK21" s="1642"/>
      <c r="BL21" s="1642"/>
      <c r="BM21" s="1642"/>
      <c r="BN21" s="1642"/>
      <c r="BO21" s="1642"/>
      <c r="BP21" s="1642"/>
      <c r="BQ21" s="1642"/>
      <c r="BR21" s="1642"/>
      <c r="BS21" s="1642"/>
      <c r="BT21" s="1642"/>
      <c r="BU21" s="1642"/>
      <c r="BV21" s="1642"/>
      <c r="BW21" s="1642"/>
      <c r="BX21" s="1642"/>
      <c r="BY21" s="1642"/>
      <c r="BZ21" s="1642"/>
      <c r="CA21" s="1642"/>
      <c r="CB21" s="1642"/>
      <c r="CC21" s="1642"/>
      <c r="CD21" s="1642"/>
      <c r="CE21" s="1642"/>
      <c r="CF21" s="1642"/>
      <c r="CG21" s="1642"/>
      <c r="CH21" s="1642"/>
      <c r="CI21" s="1642"/>
      <c r="CJ21" s="1642"/>
      <c r="CK21" s="1642"/>
      <c r="CL21" s="1642"/>
      <c r="CM21" s="4489"/>
      <c r="CU21" s="1162">
        <v>0</v>
      </c>
    </row>
    <row customHeight="1" ht="14.25" hidden="1">
      <c r="O22" s="1371"/>
      <c r="AJ22" s="1642"/>
      <c r="AK22" s="1642"/>
      <c r="AL22" s="1642"/>
      <c r="AM22" s="1642"/>
      <c r="AN22" s="1642"/>
      <c r="AO22" s="1642"/>
      <c r="AP22" s="1642"/>
      <c r="AQ22" s="1642"/>
      <c r="AR22" s="1642"/>
      <c r="AS22" s="1642"/>
      <c r="AT22" s="1642"/>
      <c r="AU22" s="1642"/>
      <c r="AV22" s="1642"/>
      <c r="AW22" s="1642"/>
      <c r="AX22" s="1642"/>
      <c r="AY22" s="1642"/>
      <c r="AZ22" s="1642"/>
      <c r="BA22" s="1642"/>
      <c r="BB22" s="1642"/>
      <c r="BC22" s="1642"/>
      <c r="BD22" s="1642"/>
      <c r="BE22" s="1642"/>
      <c r="BF22" s="1642"/>
      <c r="BG22" s="1642"/>
      <c r="BH22" s="1642"/>
      <c r="BI22" s="1642"/>
      <c r="BJ22" s="1642"/>
      <c r="BK22" s="1642"/>
      <c r="BL22" s="1642"/>
      <c r="BM22" s="1642"/>
      <c r="BN22" s="1642"/>
      <c r="BO22" s="1642"/>
      <c r="BP22" s="1642"/>
      <c r="BQ22" s="1642"/>
      <c r="BR22" s="1642"/>
      <c r="BS22" s="1642"/>
      <c r="BT22" s="1642"/>
      <c r="BU22" s="1642"/>
      <c r="BV22" s="1642"/>
      <c r="BW22" s="1642"/>
      <c r="BX22" s="1642"/>
      <c r="BY22" s="1642"/>
      <c r="BZ22" s="1642"/>
      <c r="CA22" s="1642"/>
      <c r="CB22" s="1642"/>
      <c r="CC22" s="1642"/>
      <c r="CD22" s="1642"/>
      <c r="CE22" s="1642"/>
      <c r="CF22" s="1642"/>
      <c r="CG22" s="1642"/>
      <c r="CH22" s="1642"/>
      <c r="CI22" s="1642"/>
      <c r="CJ22" s="1642"/>
      <c r="CK22" s="1642"/>
      <c r="CL22" s="1642"/>
      <c r="CM22" s="4489"/>
      <c r="CU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J23" s="1642"/>
      <c r="AK23" s="1642"/>
      <c r="AL23" s="1642"/>
      <c r="AM23" s="1642"/>
      <c r="AN23" s="1642"/>
      <c r="AO23" s="1642"/>
      <c r="AP23" s="1642"/>
      <c r="AQ23" s="1642"/>
      <c r="AR23" s="1642"/>
      <c r="AS23" s="1642"/>
      <c r="AT23" s="1642"/>
      <c r="AU23" s="1642"/>
      <c r="AV23" s="1642"/>
      <c r="AW23" s="1642"/>
      <c r="AX23" s="1642"/>
      <c r="AY23" s="1642"/>
      <c r="AZ23" s="1642"/>
      <c r="BA23" s="1642"/>
      <c r="BB23" s="1642"/>
      <c r="BC23" s="1642"/>
      <c r="BD23" s="1642"/>
      <c r="BE23" s="1642"/>
      <c r="BF23" s="1642"/>
      <c r="BG23" s="1642"/>
      <c r="BH23" s="1642"/>
      <c r="BI23" s="1642"/>
      <c r="BJ23" s="1642"/>
      <c r="BK23" s="1642"/>
      <c r="BL23" s="1642"/>
      <c r="BM23" s="1642"/>
      <c r="BN23" s="1642"/>
      <c r="BO23" s="1642"/>
      <c r="BP23" s="1642"/>
      <c r="BQ23" s="1642"/>
      <c r="BR23" s="1642"/>
      <c r="BS23" s="1642"/>
      <c r="BT23" s="1642"/>
      <c r="BU23" s="1642"/>
      <c r="BV23" s="1642"/>
      <c r="BW23" s="1642"/>
      <c r="BX23" s="1642"/>
      <c r="BY23" s="1642"/>
      <c r="BZ23" s="1642"/>
      <c r="CA23" s="1642"/>
      <c r="CB23" s="1642"/>
      <c r="CC23" s="1642"/>
      <c r="CD23" s="1642"/>
      <c r="CE23" s="1642"/>
      <c r="CF23" s="1642"/>
      <c r="CG23" s="1642"/>
      <c r="CH23" s="1642"/>
      <c r="CI23" s="1642"/>
      <c r="CJ23" s="1642"/>
      <c r="CK23" s="1642"/>
      <c r="CL23" s="1642"/>
      <c r="CM23" s="4489"/>
      <c r="CU23" s="1162">
        <v>14</v>
      </c>
    </row>
    <row customHeight="1" ht="14.699999999999998">
      <c r="Q24" s="383"/>
      <c r="R24" s="383"/>
      <c r="S24" s="225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5"/>
      <c r="U24" s="2255"/>
      <c r="V24" s="2255"/>
      <c r="W24" s="2255"/>
      <c r="X24" s="2255"/>
      <c r="Y24" s="2255"/>
      <c r="Z24" s="2255"/>
      <c r="AA24" s="2255"/>
      <c r="AB24" s="2255"/>
      <c r="AC24" s="2255"/>
      <c r="AD24" s="2255"/>
      <c r="AE24" s="2255"/>
      <c r="AF24" s="2255"/>
      <c r="AG24" s="2255"/>
      <c r="AH24" s="2255"/>
      <c r="AI24" s="1250"/>
      <c r="AJ24" s="2255"/>
      <c r="AK24" s="2255"/>
      <c r="AL24" s="2255"/>
      <c r="AM24" s="2255"/>
      <c r="AN24" s="2255"/>
      <c r="AO24" s="2255"/>
      <c r="AP24" s="2255"/>
      <c r="AQ24" s="2255"/>
      <c r="AR24" s="2255"/>
      <c r="AS24" s="2255"/>
      <c r="AT24" s="2255"/>
      <c r="AU24" s="2255"/>
      <c r="AV24" s="2255"/>
      <c r="AW24" s="2255"/>
      <c r="AX24" s="2255"/>
      <c r="AY24" s="2255"/>
      <c r="AZ24" s="2255"/>
      <c r="BA24" s="2255"/>
      <c r="BB24" s="2255"/>
      <c r="BC24" s="2255"/>
      <c r="BD24" s="2255"/>
      <c r="BE24" s="2255"/>
      <c r="BF24" s="2255"/>
      <c r="BG24" s="2255"/>
      <c r="BH24" s="2255"/>
      <c r="BI24" s="2255"/>
      <c r="BJ24" s="2255"/>
      <c r="BK24" s="2255"/>
      <c r="BL24" s="2255"/>
      <c r="BM24" s="2255"/>
      <c r="BN24" s="2255"/>
      <c r="BO24" s="2255"/>
      <c r="BP24" s="2255"/>
      <c r="BQ24" s="2255"/>
      <c r="BR24" s="2255"/>
      <c r="BS24" s="2255"/>
      <c r="BT24" s="2255"/>
      <c r="BU24" s="2255"/>
      <c r="BV24" s="2255"/>
      <c r="BW24" s="2255"/>
      <c r="BX24" s="2255"/>
      <c r="BY24" s="2255"/>
      <c r="BZ24" s="2255"/>
      <c r="CA24" s="2255"/>
      <c r="CB24" s="2255"/>
      <c r="CC24" s="2255"/>
      <c r="CD24" s="2255"/>
      <c r="CE24" s="2255"/>
      <c r="CF24" s="2255"/>
      <c r="CG24" s="2255"/>
      <c r="CH24" s="2255"/>
      <c r="CI24" s="2255"/>
      <c r="CJ24" s="2255"/>
      <c r="CK24" s="2255"/>
      <c r="CL24" s="2255"/>
      <c r="CM24" s="4520"/>
      <c r="CU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J25" s="2256"/>
      <c r="AK25" s="2256"/>
      <c r="AL25" s="2256"/>
      <c r="AM25" s="2256"/>
      <c r="AN25" s="2256"/>
      <c r="AO25" s="2256"/>
      <c r="AP25" s="2256"/>
      <c r="AQ25" s="2256"/>
      <c r="AR25" s="2256"/>
      <c r="AS25" s="2256"/>
      <c r="AT25" s="2256"/>
      <c r="AU25" s="2256"/>
      <c r="AV25" s="2256"/>
      <c r="AW25" s="2256"/>
      <c r="AX25" s="2256"/>
      <c r="AY25" s="2256"/>
      <c r="AZ25" s="2256"/>
      <c r="BA25" s="2256"/>
      <c r="BB25" s="2256"/>
      <c r="BC25" s="2256"/>
      <c r="BD25" s="2256"/>
      <c r="BE25" s="2256"/>
      <c r="BF25" s="2256"/>
      <c r="BG25" s="2256"/>
      <c r="BH25" s="2256"/>
      <c r="BI25" s="2256"/>
      <c r="BJ25" s="2256"/>
      <c r="BK25" s="2256"/>
      <c r="BL25" s="2256"/>
      <c r="BM25" s="2256"/>
      <c r="BN25" s="2256"/>
      <c r="BO25" s="2256"/>
      <c r="BP25" s="2256"/>
      <c r="BQ25" s="2256"/>
      <c r="BR25" s="2256"/>
      <c r="BS25" s="2256"/>
      <c r="BT25" s="2256"/>
      <c r="BU25" s="2256"/>
      <c r="BV25" s="2256"/>
      <c r="BW25" s="2256"/>
      <c r="BX25" s="2256"/>
      <c r="BY25" s="2256"/>
      <c r="BZ25" s="2256"/>
      <c r="CA25" s="2256"/>
      <c r="CB25" s="2256"/>
      <c r="CC25" s="2256"/>
      <c r="CD25" s="2256"/>
      <c r="CE25" s="2256"/>
      <c r="CF25" s="2256"/>
      <c r="CG25" s="2256"/>
      <c r="CH25" s="2256"/>
      <c r="CI25" s="2256"/>
      <c r="CJ25" s="2256"/>
      <c r="CK25" s="2256"/>
      <c r="CL25" s="2256"/>
      <c r="CM25" s="4521"/>
      <c r="CU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329"/>
      <c r="AK26" s="329"/>
      <c r="AL26" s="329"/>
      <c r="AM26" s="329"/>
      <c r="AN26" s="329"/>
      <c r="AO26" s="329"/>
      <c r="AP26" s="329"/>
      <c r="AQ26" s="329"/>
      <c r="AR26" s="329"/>
      <c r="AS26" s="329"/>
      <c r="AT26" s="329"/>
      <c r="AU26" s="329"/>
      <c r="AV26" s="329"/>
      <c r="AW26" s="329"/>
      <c r="AX26" s="329"/>
      <c r="AY26" s="329"/>
      <c r="AZ26" s="329"/>
      <c r="BA26" s="329"/>
      <c r="BB26" s="329"/>
      <c r="BC26" s="329"/>
      <c r="BD26" s="329"/>
      <c r="BE26" s="329"/>
      <c r="BF26" s="329"/>
      <c r="BG26" s="329"/>
      <c r="BH26" s="329"/>
      <c r="BI26" s="329"/>
      <c r="BJ26" s="329"/>
      <c r="BK26" s="329"/>
      <c r="BL26" s="329"/>
      <c r="BM26" s="329"/>
      <c r="BN26" s="329"/>
      <c r="BO26" s="329"/>
      <c r="BP26" s="329"/>
      <c r="BQ26" s="329"/>
      <c r="BR26" s="329"/>
      <c r="BS26" s="329"/>
      <c r="BT26" s="329"/>
      <c r="BU26" s="329"/>
      <c r="BV26" s="329"/>
      <c r="BW26" s="329"/>
      <c r="BX26" s="329"/>
      <c r="BY26" s="329"/>
      <c r="BZ26" s="329"/>
      <c r="CA26" s="329"/>
      <c r="CB26" s="329"/>
      <c r="CC26" s="329"/>
      <c r="CD26" s="329"/>
      <c r="CE26" s="329"/>
      <c r="CF26" s="329"/>
      <c r="CG26" s="329"/>
      <c r="CH26" s="329"/>
      <c r="CI26" s="329"/>
      <c r="CJ26" s="329"/>
      <c r="CK26" s="329"/>
      <c r="CL26" s="329"/>
      <c r="CM26" s="4522"/>
      <c r="CN26" s="516"/>
      <c r="CU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2258" t="str">
        <f>IF(TITLE_NAME_OR_PR_CHANGE="",IF(TITLE_NAME_OR_PR="","",TITLE_NAME_OR_PR),TITLE_NAME_OR_PR_CHANGE)</f>
        <v/>
      </c>
      <c r="AK27" s="2258"/>
      <c r="AL27" s="2258"/>
      <c r="AM27" s="2258"/>
      <c r="AN27" s="2258"/>
      <c r="AO27" s="2258"/>
      <c r="AP27" s="1642"/>
      <c r="AQ27" s="2258" t="str">
        <f>IF(TITLE_NAME_OR_PR_CHANGE="",IF(TITLE_NAME_OR_PR="","",TITLE_NAME_OR_PR),TITLE_NAME_OR_PR_CHANGE)</f>
        <v/>
      </c>
      <c r="AR27" s="2258"/>
      <c r="AS27" s="2258"/>
      <c r="AT27" s="2258"/>
      <c r="AU27" s="2258"/>
      <c r="AV27" s="2258"/>
      <c r="AW27" s="1642"/>
      <c r="AX27" s="2258" t="str">
        <f>IF(TITLE_NAME_OR_PR_CHANGE="",IF(TITLE_NAME_OR_PR="","",TITLE_NAME_OR_PR),TITLE_NAME_OR_PR_CHANGE)</f>
        <v/>
      </c>
      <c r="AY27" s="2258"/>
      <c r="AZ27" s="2258"/>
      <c r="BA27" s="2258"/>
      <c r="BB27" s="2258"/>
      <c r="BC27" s="2258"/>
      <c r="BD27" s="1642"/>
      <c r="BE27" s="2258" t="str">
        <f>IF(TITLE_NAME_OR_PR_CHANGE="",IF(TITLE_NAME_OR_PR="","",TITLE_NAME_OR_PR),TITLE_NAME_OR_PR_CHANGE)</f>
        <v/>
      </c>
      <c r="BF27" s="2258"/>
      <c r="BG27" s="2258"/>
      <c r="BH27" s="2258"/>
      <c r="BI27" s="2258"/>
      <c r="BJ27" s="2258"/>
      <c r="BK27" s="1642"/>
      <c r="BL27" s="2258" t="str">
        <f>IF(TITLE_NAME_OR_PR_CHANGE="",IF(TITLE_NAME_OR_PR="","",TITLE_NAME_OR_PR),TITLE_NAME_OR_PR_CHANGE)</f>
        <v/>
      </c>
      <c r="BM27" s="2258"/>
      <c r="BN27" s="2258"/>
      <c r="BO27" s="2258"/>
      <c r="BP27" s="2258"/>
      <c r="BQ27" s="2258"/>
      <c r="BR27" s="1642"/>
      <c r="BS27" s="2258" t="str">
        <f>IF(TITLE_NAME_OR_PR_CHANGE="",IF(TITLE_NAME_OR_PR="","",TITLE_NAME_OR_PR),TITLE_NAME_OR_PR_CHANGE)</f>
        <v/>
      </c>
      <c r="BT27" s="2258"/>
      <c r="BU27" s="2258"/>
      <c r="BV27" s="2258"/>
      <c r="BW27" s="2258"/>
      <c r="BX27" s="2258"/>
      <c r="BY27" s="1642"/>
      <c r="BZ27" s="2258" t="str">
        <f>IF(TITLE_NAME_OR_PR_CHANGE="",IF(TITLE_NAME_OR_PR="","",TITLE_NAME_OR_PR),TITLE_NAME_OR_PR_CHANGE)</f>
        <v/>
      </c>
      <c r="CA27" s="2258"/>
      <c r="CB27" s="2258"/>
      <c r="CC27" s="2258"/>
      <c r="CD27" s="2258"/>
      <c r="CE27" s="2258"/>
      <c r="CF27" s="1642"/>
      <c r="CG27" s="2258" t="str">
        <f>IF(TITLE_NAME_OR_PR_CHANGE="",IF(TITLE_NAME_OR_PR="","",TITLE_NAME_OR_PR),TITLE_NAME_OR_PR_CHANGE)</f>
        <v/>
      </c>
      <c r="CH27" s="2258"/>
      <c r="CI27" s="2258"/>
      <c r="CJ27" s="2258"/>
      <c r="CK27" s="2258"/>
      <c r="CL27" s="2258"/>
      <c r="CM27" s="4489"/>
      <c r="CN27" s="333"/>
      <c r="CO27" s="287"/>
      <c r="CP27" s="375"/>
      <c r="CQ27" s="375"/>
      <c r="CR27" s="375"/>
      <c r="CS27" s="375"/>
      <c r="CT27" s="375"/>
      <c r="CU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2271" t="str">
        <f>IF(TITLE_DATE_PR_CHANGE="",IF(TITLE_DATE_PR="","",TITLE_DATE_PR),TITLE_DATE_PR_CHANGE)</f>
        <v>45432</v>
      </c>
      <c r="AK28" s="2271"/>
      <c r="AL28" s="2271"/>
      <c r="AM28" s="2271"/>
      <c r="AN28" s="2271"/>
      <c r="AO28" s="2271"/>
      <c r="AP28" s="1642"/>
      <c r="AQ28" s="2271" t="str">
        <f>IF(TITLE_DATE_PR_CHANGE="",IF(TITLE_DATE_PR="","",TITLE_DATE_PR),TITLE_DATE_PR_CHANGE)</f>
        <v>45432</v>
      </c>
      <c r="AR28" s="2271"/>
      <c r="AS28" s="2271"/>
      <c r="AT28" s="2271"/>
      <c r="AU28" s="2271"/>
      <c r="AV28" s="2271"/>
      <c r="AW28" s="1642"/>
      <c r="AX28" s="2271" t="str">
        <f>IF(TITLE_DATE_PR_CHANGE="",IF(TITLE_DATE_PR="","",TITLE_DATE_PR),TITLE_DATE_PR_CHANGE)</f>
        <v>45432</v>
      </c>
      <c r="AY28" s="2271"/>
      <c r="AZ28" s="2271"/>
      <c r="BA28" s="2271"/>
      <c r="BB28" s="2271"/>
      <c r="BC28" s="2271"/>
      <c r="BD28" s="1642"/>
      <c r="BE28" s="2271" t="str">
        <f>IF(TITLE_DATE_PR_CHANGE="",IF(TITLE_DATE_PR="","",TITLE_DATE_PR),TITLE_DATE_PR_CHANGE)</f>
        <v>45432</v>
      </c>
      <c r="BF28" s="2271"/>
      <c r="BG28" s="2271"/>
      <c r="BH28" s="2271"/>
      <c r="BI28" s="2271"/>
      <c r="BJ28" s="2271"/>
      <c r="BK28" s="1642"/>
      <c r="BL28" s="2271" t="str">
        <f>IF(TITLE_DATE_PR_CHANGE="",IF(TITLE_DATE_PR="","",TITLE_DATE_PR),TITLE_DATE_PR_CHANGE)</f>
        <v>45432</v>
      </c>
      <c r="BM28" s="2271"/>
      <c r="BN28" s="2271"/>
      <c r="BO28" s="2271"/>
      <c r="BP28" s="2271"/>
      <c r="BQ28" s="2271"/>
      <c r="BR28" s="1642"/>
      <c r="BS28" s="2271" t="str">
        <f>IF(TITLE_DATE_PR_CHANGE="",IF(TITLE_DATE_PR="","",TITLE_DATE_PR),TITLE_DATE_PR_CHANGE)</f>
        <v>45432</v>
      </c>
      <c r="BT28" s="2271"/>
      <c r="BU28" s="2271"/>
      <c r="BV28" s="2271"/>
      <c r="BW28" s="2271"/>
      <c r="BX28" s="2271"/>
      <c r="BY28" s="1642"/>
      <c r="BZ28" s="2271" t="str">
        <f>IF(TITLE_DATE_PR_CHANGE="",IF(TITLE_DATE_PR="","",TITLE_DATE_PR),TITLE_DATE_PR_CHANGE)</f>
        <v>45432</v>
      </c>
      <c r="CA28" s="2271"/>
      <c r="CB28" s="2271"/>
      <c r="CC28" s="2271"/>
      <c r="CD28" s="2271"/>
      <c r="CE28" s="2271"/>
      <c r="CF28" s="1642"/>
      <c r="CG28" s="2271" t="str">
        <f>IF(TITLE_DATE_PR_CHANGE="",IF(TITLE_DATE_PR="","",TITLE_DATE_PR),TITLE_DATE_PR_CHANGE)</f>
        <v>45432</v>
      </c>
      <c r="CH28" s="2271"/>
      <c r="CI28" s="2271"/>
      <c r="CJ28" s="2271"/>
      <c r="CK28" s="2271"/>
      <c r="CL28" s="2271"/>
      <c r="CM28" s="4489"/>
      <c r="CN28" s="333"/>
      <c r="CO28" s="287"/>
      <c r="CP28" s="375"/>
      <c r="CQ28" s="375"/>
      <c r="CR28" s="375"/>
      <c r="CS28" s="375"/>
      <c r="CT28" s="375"/>
      <c r="CU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2258" t="str">
        <f>IF(TITLE_NUMBER_PR_CHANGE="",IF(TITLE_NUMBER_PR="","",TITLE_NUMBER_PR),TITLE_NUMBER_PR_CHANGE)</f>
        <v>29-12/1427</v>
      </c>
      <c r="AK29" s="2258"/>
      <c r="AL29" s="2258"/>
      <c r="AM29" s="2258"/>
      <c r="AN29" s="2258"/>
      <c r="AO29" s="2258"/>
      <c r="AP29" s="1642"/>
      <c r="AQ29" s="2258" t="str">
        <f>IF(TITLE_NUMBER_PR_CHANGE="",IF(TITLE_NUMBER_PR="","",TITLE_NUMBER_PR),TITLE_NUMBER_PR_CHANGE)</f>
        <v>29-12/1427</v>
      </c>
      <c r="AR29" s="2258"/>
      <c r="AS29" s="2258"/>
      <c r="AT29" s="2258"/>
      <c r="AU29" s="2258"/>
      <c r="AV29" s="2258"/>
      <c r="AW29" s="1642"/>
      <c r="AX29" s="2258" t="str">
        <f>IF(TITLE_NUMBER_PR_CHANGE="",IF(TITLE_NUMBER_PR="","",TITLE_NUMBER_PR),TITLE_NUMBER_PR_CHANGE)</f>
        <v>29-12/1427</v>
      </c>
      <c r="AY29" s="2258"/>
      <c r="AZ29" s="2258"/>
      <c r="BA29" s="2258"/>
      <c r="BB29" s="2258"/>
      <c r="BC29" s="2258"/>
      <c r="BD29" s="1642"/>
      <c r="BE29" s="2258" t="str">
        <f>IF(TITLE_NUMBER_PR_CHANGE="",IF(TITLE_NUMBER_PR="","",TITLE_NUMBER_PR),TITLE_NUMBER_PR_CHANGE)</f>
        <v>29-12/1427</v>
      </c>
      <c r="BF29" s="2258"/>
      <c r="BG29" s="2258"/>
      <c r="BH29" s="2258"/>
      <c r="BI29" s="2258"/>
      <c r="BJ29" s="2258"/>
      <c r="BK29" s="1642"/>
      <c r="BL29" s="2258" t="str">
        <f>IF(TITLE_NUMBER_PR_CHANGE="",IF(TITLE_NUMBER_PR="","",TITLE_NUMBER_PR),TITLE_NUMBER_PR_CHANGE)</f>
        <v>29-12/1427</v>
      </c>
      <c r="BM29" s="2258"/>
      <c r="BN29" s="2258"/>
      <c r="BO29" s="2258"/>
      <c r="BP29" s="2258"/>
      <c r="BQ29" s="2258"/>
      <c r="BR29" s="1642"/>
      <c r="BS29" s="2258" t="str">
        <f>IF(TITLE_NUMBER_PR_CHANGE="",IF(TITLE_NUMBER_PR="","",TITLE_NUMBER_PR),TITLE_NUMBER_PR_CHANGE)</f>
        <v>29-12/1427</v>
      </c>
      <c r="BT29" s="2258"/>
      <c r="BU29" s="2258"/>
      <c r="BV29" s="2258"/>
      <c r="BW29" s="2258"/>
      <c r="BX29" s="2258"/>
      <c r="BY29" s="1642"/>
      <c r="BZ29" s="2258" t="str">
        <f>IF(TITLE_NUMBER_PR_CHANGE="",IF(TITLE_NUMBER_PR="","",TITLE_NUMBER_PR),TITLE_NUMBER_PR_CHANGE)</f>
        <v>29-12/1427</v>
      </c>
      <c r="CA29" s="2258"/>
      <c r="CB29" s="2258"/>
      <c r="CC29" s="2258"/>
      <c r="CD29" s="2258"/>
      <c r="CE29" s="2258"/>
      <c r="CF29" s="1642"/>
      <c r="CG29" s="2258" t="str">
        <f>IF(TITLE_NUMBER_PR_CHANGE="",IF(TITLE_NUMBER_PR="","",TITLE_NUMBER_PR),TITLE_NUMBER_PR_CHANGE)</f>
        <v>29-12/1427</v>
      </c>
      <c r="CH29" s="2258"/>
      <c r="CI29" s="2258"/>
      <c r="CJ29" s="2258"/>
      <c r="CK29" s="2258"/>
      <c r="CL29" s="2258"/>
      <c r="CM29" s="4489"/>
      <c r="CN29" s="333"/>
      <c r="CO29" s="287"/>
      <c r="CP29" s="375"/>
      <c r="CQ29" s="375"/>
      <c r="CR29" s="375"/>
      <c r="CS29" s="375"/>
      <c r="CT29" s="375"/>
      <c r="CU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2258" t="str">
        <f>IF(TITLE_IST_PUB_CHANGE="",IF(TITLE_IST_PUB="","",TITLE_IST_PUB),TITLE_IST_PUB_CHANGE)</f>
        <v/>
      </c>
      <c r="AK30" s="2258"/>
      <c r="AL30" s="2258"/>
      <c r="AM30" s="2258"/>
      <c r="AN30" s="2258"/>
      <c r="AO30" s="2258"/>
      <c r="AP30" s="1642"/>
      <c r="AQ30" s="2258" t="str">
        <f>IF(TITLE_IST_PUB_CHANGE="",IF(TITLE_IST_PUB="","",TITLE_IST_PUB),TITLE_IST_PUB_CHANGE)</f>
        <v/>
      </c>
      <c r="AR30" s="2258"/>
      <c r="AS30" s="2258"/>
      <c r="AT30" s="2258"/>
      <c r="AU30" s="2258"/>
      <c r="AV30" s="2258"/>
      <c r="AW30" s="1642"/>
      <c r="AX30" s="2258" t="str">
        <f>IF(TITLE_IST_PUB_CHANGE="",IF(TITLE_IST_PUB="","",TITLE_IST_PUB),TITLE_IST_PUB_CHANGE)</f>
        <v/>
      </c>
      <c r="AY30" s="2258"/>
      <c r="AZ30" s="2258"/>
      <c r="BA30" s="2258"/>
      <c r="BB30" s="2258"/>
      <c r="BC30" s="2258"/>
      <c r="BD30" s="1642"/>
      <c r="BE30" s="2258" t="str">
        <f>IF(TITLE_IST_PUB_CHANGE="",IF(TITLE_IST_PUB="","",TITLE_IST_PUB),TITLE_IST_PUB_CHANGE)</f>
        <v/>
      </c>
      <c r="BF30" s="2258"/>
      <c r="BG30" s="2258"/>
      <c r="BH30" s="2258"/>
      <c r="BI30" s="2258"/>
      <c r="BJ30" s="2258"/>
      <c r="BK30" s="1642"/>
      <c r="BL30" s="2258" t="str">
        <f>IF(TITLE_IST_PUB_CHANGE="",IF(TITLE_IST_PUB="","",TITLE_IST_PUB),TITLE_IST_PUB_CHANGE)</f>
        <v/>
      </c>
      <c r="BM30" s="2258"/>
      <c r="BN30" s="2258"/>
      <c r="BO30" s="2258"/>
      <c r="BP30" s="2258"/>
      <c r="BQ30" s="2258"/>
      <c r="BR30" s="1642"/>
      <c r="BS30" s="2258" t="str">
        <f>IF(TITLE_IST_PUB_CHANGE="",IF(TITLE_IST_PUB="","",TITLE_IST_PUB),TITLE_IST_PUB_CHANGE)</f>
        <v/>
      </c>
      <c r="BT30" s="2258"/>
      <c r="BU30" s="2258"/>
      <c r="BV30" s="2258"/>
      <c r="BW30" s="2258"/>
      <c r="BX30" s="2258"/>
      <c r="BY30" s="1642"/>
      <c r="BZ30" s="2258" t="str">
        <f>IF(TITLE_IST_PUB_CHANGE="",IF(TITLE_IST_PUB="","",TITLE_IST_PUB),TITLE_IST_PUB_CHANGE)</f>
        <v/>
      </c>
      <c r="CA30" s="2258"/>
      <c r="CB30" s="2258"/>
      <c r="CC30" s="2258"/>
      <c r="CD30" s="2258"/>
      <c r="CE30" s="2258"/>
      <c r="CF30" s="1642"/>
      <c r="CG30" s="2258" t="str">
        <f>IF(TITLE_IST_PUB_CHANGE="",IF(TITLE_IST_PUB="","",TITLE_IST_PUB),TITLE_IST_PUB_CHANGE)</f>
        <v/>
      </c>
      <c r="CH30" s="2258"/>
      <c r="CI30" s="2258"/>
      <c r="CJ30" s="2258"/>
      <c r="CK30" s="2258"/>
      <c r="CL30" s="2258"/>
      <c r="CM30" s="4489"/>
      <c r="CN30" s="333"/>
      <c r="CO30" s="287"/>
      <c r="CP30" s="375"/>
      <c r="CQ30" s="375"/>
      <c r="CR30" s="375"/>
      <c r="CS30" s="375"/>
      <c r="CT30" s="375"/>
      <c r="CU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329"/>
      <c r="AK31" s="329"/>
      <c r="AL31" s="329"/>
      <c r="AM31" s="329"/>
      <c r="AN31" s="329"/>
      <c r="AO31" s="329"/>
      <c r="AP31" s="329"/>
      <c r="AQ31" s="329"/>
      <c r="AR31" s="329"/>
      <c r="AS31" s="329"/>
      <c r="AT31" s="329"/>
      <c r="AU31" s="329"/>
      <c r="AV31" s="329"/>
      <c r="AW31" s="329"/>
      <c r="AX31" s="329"/>
      <c r="AY31" s="329"/>
      <c r="AZ31" s="329"/>
      <c r="BA31" s="329"/>
      <c r="BB31" s="329"/>
      <c r="BC31" s="329"/>
      <c r="BD31" s="329"/>
      <c r="BE31" s="329"/>
      <c r="BF31" s="329"/>
      <c r="BG31" s="329"/>
      <c r="BH31" s="329"/>
      <c r="BI31" s="329"/>
      <c r="BJ31" s="329"/>
      <c r="BK31" s="329"/>
      <c r="BL31" s="329"/>
      <c r="BM31" s="329"/>
      <c r="BN31" s="329"/>
      <c r="BO31" s="329"/>
      <c r="BP31" s="329"/>
      <c r="BQ31" s="329"/>
      <c r="BR31" s="329"/>
      <c r="BS31" s="329"/>
      <c r="BT31" s="329"/>
      <c r="BU31" s="329"/>
      <c r="BV31" s="329"/>
      <c r="BW31" s="329"/>
      <c r="BX31" s="329"/>
      <c r="BY31" s="329"/>
      <c r="BZ31" s="329"/>
      <c r="CA31" s="329"/>
      <c r="CB31" s="329"/>
      <c r="CC31" s="329"/>
      <c r="CD31" s="329"/>
      <c r="CE31" s="329"/>
      <c r="CF31" s="329"/>
      <c r="CG31" s="329"/>
      <c r="CH31" s="329"/>
      <c r="CI31" s="329"/>
      <c r="CJ31" s="329"/>
      <c r="CK31" s="329"/>
      <c r="CL31" s="329"/>
      <c r="CM31" s="4522"/>
      <c r="CN31" s="516"/>
      <c r="CU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2271" t="str">
        <f>IF(TITLE_DATE_PR_CHANGE="",IF(TITLE_DATE_PR="","",TITLE_DATE_PR),TITLE_DATE_PR_CHANGE)</f>
        <v>45432</v>
      </c>
      <c r="AK32" s="2271"/>
      <c r="AL32" s="2271"/>
      <c r="AM32" s="2271"/>
      <c r="AN32" s="2271"/>
      <c r="AO32" s="2271"/>
      <c r="AP32" s="1642"/>
      <c r="AQ32" s="2271" t="str">
        <f>IF(TITLE_DATE_PR_CHANGE="",IF(TITLE_DATE_PR="","",TITLE_DATE_PR),TITLE_DATE_PR_CHANGE)</f>
        <v>45432</v>
      </c>
      <c r="AR32" s="2271"/>
      <c r="AS32" s="2271"/>
      <c r="AT32" s="2271"/>
      <c r="AU32" s="2271"/>
      <c r="AV32" s="2271"/>
      <c r="AW32" s="1642"/>
      <c r="AX32" s="2271" t="str">
        <f>IF(TITLE_DATE_PR_CHANGE="",IF(TITLE_DATE_PR="","",TITLE_DATE_PR),TITLE_DATE_PR_CHANGE)</f>
        <v>45432</v>
      </c>
      <c r="AY32" s="2271"/>
      <c r="AZ32" s="2271"/>
      <c r="BA32" s="2271"/>
      <c r="BB32" s="2271"/>
      <c r="BC32" s="2271"/>
      <c r="BD32" s="1642"/>
      <c r="BE32" s="2271" t="str">
        <f>IF(TITLE_DATE_PR_CHANGE="",IF(TITLE_DATE_PR="","",TITLE_DATE_PR),TITLE_DATE_PR_CHANGE)</f>
        <v>45432</v>
      </c>
      <c r="BF32" s="2271"/>
      <c r="BG32" s="2271"/>
      <c r="BH32" s="2271"/>
      <c r="BI32" s="2271"/>
      <c r="BJ32" s="2271"/>
      <c r="BK32" s="1642"/>
      <c r="BL32" s="2271" t="str">
        <f>IF(TITLE_DATE_PR_CHANGE="",IF(TITLE_DATE_PR="","",TITLE_DATE_PR),TITLE_DATE_PR_CHANGE)</f>
        <v>45432</v>
      </c>
      <c r="BM32" s="2271"/>
      <c r="BN32" s="2271"/>
      <c r="BO32" s="2271"/>
      <c r="BP32" s="2271"/>
      <c r="BQ32" s="2271"/>
      <c r="BR32" s="1642"/>
      <c r="BS32" s="2271" t="str">
        <f>IF(TITLE_DATE_PR_CHANGE="",IF(TITLE_DATE_PR="","",TITLE_DATE_PR),TITLE_DATE_PR_CHANGE)</f>
        <v>45432</v>
      </c>
      <c r="BT32" s="2271"/>
      <c r="BU32" s="2271"/>
      <c r="BV32" s="2271"/>
      <c r="BW32" s="2271"/>
      <c r="BX32" s="2271"/>
      <c r="BY32" s="1642"/>
      <c r="BZ32" s="2271" t="str">
        <f>IF(TITLE_DATE_PR_CHANGE="",IF(TITLE_DATE_PR="","",TITLE_DATE_PR),TITLE_DATE_PR_CHANGE)</f>
        <v>45432</v>
      </c>
      <c r="CA32" s="2271"/>
      <c r="CB32" s="2271"/>
      <c r="CC32" s="2271"/>
      <c r="CD32" s="2271"/>
      <c r="CE32" s="2271"/>
      <c r="CF32" s="1642"/>
      <c r="CG32" s="2271" t="str">
        <f>IF(TITLE_DATE_PR_CHANGE="",IF(TITLE_DATE_PR="","",TITLE_DATE_PR),TITLE_DATE_PR_CHANGE)</f>
        <v>45432</v>
      </c>
      <c r="CH32" s="2271"/>
      <c r="CI32" s="2271"/>
      <c r="CJ32" s="2271"/>
      <c r="CK32" s="2271"/>
      <c r="CL32" s="2271"/>
      <c r="CM32" s="4489"/>
      <c r="CN32" s="333"/>
      <c r="CO32" s="287"/>
      <c r="CP32" s="375"/>
      <c r="CQ32" s="375"/>
      <c r="CR32" s="375"/>
      <c r="CS32" s="375"/>
      <c r="CT32" s="375"/>
      <c r="CU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2258" t="str">
        <f>IF(TITLE_NUMBER_PR_CHANGE="",IF(TITLE_NUMBER_PR="","",TITLE_NUMBER_PR),TITLE_NUMBER_PR_CHANGE)</f>
        <v>29-12/1427</v>
      </c>
      <c r="AK33" s="2258"/>
      <c r="AL33" s="2258"/>
      <c r="AM33" s="2258"/>
      <c r="AN33" s="2258"/>
      <c r="AO33" s="2258"/>
      <c r="AP33" s="1642"/>
      <c r="AQ33" s="2258" t="str">
        <f>IF(TITLE_NUMBER_PR_CHANGE="",IF(TITLE_NUMBER_PR="","",TITLE_NUMBER_PR),TITLE_NUMBER_PR_CHANGE)</f>
        <v>29-12/1427</v>
      </c>
      <c r="AR33" s="2258"/>
      <c r="AS33" s="2258"/>
      <c r="AT33" s="2258"/>
      <c r="AU33" s="2258"/>
      <c r="AV33" s="2258"/>
      <c r="AW33" s="1642"/>
      <c r="AX33" s="2258" t="str">
        <f>IF(TITLE_NUMBER_PR_CHANGE="",IF(TITLE_NUMBER_PR="","",TITLE_NUMBER_PR),TITLE_NUMBER_PR_CHANGE)</f>
        <v>29-12/1427</v>
      </c>
      <c r="AY33" s="2258"/>
      <c r="AZ33" s="2258"/>
      <c r="BA33" s="2258"/>
      <c r="BB33" s="2258"/>
      <c r="BC33" s="2258"/>
      <c r="BD33" s="1642"/>
      <c r="BE33" s="2258" t="str">
        <f>IF(TITLE_NUMBER_PR_CHANGE="",IF(TITLE_NUMBER_PR="","",TITLE_NUMBER_PR),TITLE_NUMBER_PR_CHANGE)</f>
        <v>29-12/1427</v>
      </c>
      <c r="BF33" s="2258"/>
      <c r="BG33" s="2258"/>
      <c r="BH33" s="2258"/>
      <c r="BI33" s="2258"/>
      <c r="BJ33" s="2258"/>
      <c r="BK33" s="1642"/>
      <c r="BL33" s="2258" t="str">
        <f>IF(TITLE_NUMBER_PR_CHANGE="",IF(TITLE_NUMBER_PR="","",TITLE_NUMBER_PR),TITLE_NUMBER_PR_CHANGE)</f>
        <v>29-12/1427</v>
      </c>
      <c r="BM33" s="2258"/>
      <c r="BN33" s="2258"/>
      <c r="BO33" s="2258"/>
      <c r="BP33" s="2258"/>
      <c r="BQ33" s="2258"/>
      <c r="BR33" s="1642"/>
      <c r="BS33" s="2258" t="str">
        <f>IF(TITLE_NUMBER_PR_CHANGE="",IF(TITLE_NUMBER_PR="","",TITLE_NUMBER_PR),TITLE_NUMBER_PR_CHANGE)</f>
        <v>29-12/1427</v>
      </c>
      <c r="BT33" s="2258"/>
      <c r="BU33" s="2258"/>
      <c r="BV33" s="2258"/>
      <c r="BW33" s="2258"/>
      <c r="BX33" s="2258"/>
      <c r="BY33" s="1642"/>
      <c r="BZ33" s="2258" t="str">
        <f>IF(TITLE_NUMBER_PR_CHANGE="",IF(TITLE_NUMBER_PR="","",TITLE_NUMBER_PR),TITLE_NUMBER_PR_CHANGE)</f>
        <v>29-12/1427</v>
      </c>
      <c r="CA33" s="2258"/>
      <c r="CB33" s="2258"/>
      <c r="CC33" s="2258"/>
      <c r="CD33" s="2258"/>
      <c r="CE33" s="2258"/>
      <c r="CF33" s="1642"/>
      <c r="CG33" s="2258" t="str">
        <f>IF(TITLE_NUMBER_PR_CHANGE="",IF(TITLE_NUMBER_PR="","",TITLE_NUMBER_PR),TITLE_NUMBER_PR_CHANGE)</f>
        <v>29-12/1427</v>
      </c>
      <c r="CH33" s="2258"/>
      <c r="CI33" s="2258"/>
      <c r="CJ33" s="2258"/>
      <c r="CK33" s="2258"/>
      <c r="CL33" s="2258"/>
      <c r="CM33" s="4489"/>
      <c r="CN33" s="333"/>
      <c r="CO33" s="287"/>
      <c r="CP33" s="375"/>
      <c r="CQ33" s="375"/>
      <c r="CR33" s="375"/>
      <c r="CS33" s="375"/>
      <c r="CT33" s="375"/>
      <c r="CU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362"/>
      <c r="V34" s="333"/>
      <c r="W34" s="333"/>
      <c r="X34" s="333"/>
      <c r="Y34" s="333"/>
      <c r="Z34" s="333"/>
      <c r="AA34" s="333"/>
      <c r="AB34" s="285" t="s">
        <v>588</v>
      </c>
      <c r="AC34" s="333"/>
      <c r="AD34" s="333"/>
      <c r="AE34" s="333"/>
      <c r="AF34" s="333"/>
      <c r="AG34" s="333"/>
      <c r="AH34" s="333"/>
      <c r="AI34" s="285" t="s">
        <v>588</v>
      </c>
      <c r="AJ34" s="1642"/>
      <c r="AK34" s="1642"/>
      <c r="AL34" s="1642"/>
      <c r="AM34" s="1642"/>
      <c r="AN34" s="1642"/>
      <c r="AO34" s="1642"/>
      <c r="AP34" s="1649" t="s">
        <v>588</v>
      </c>
      <c r="AQ34" s="1642"/>
      <c r="AR34" s="1642"/>
      <c r="AS34" s="1642"/>
      <c r="AT34" s="1642"/>
      <c r="AU34" s="1642"/>
      <c r="AV34" s="1642"/>
      <c r="AW34" s="1649" t="s">
        <v>588</v>
      </c>
      <c r="AX34" s="1642"/>
      <c r="AY34" s="1642"/>
      <c r="AZ34" s="1642"/>
      <c r="BA34" s="1642"/>
      <c r="BB34" s="1642"/>
      <c r="BC34" s="1642"/>
      <c r="BD34" s="1649" t="s">
        <v>588</v>
      </c>
      <c r="BE34" s="1642"/>
      <c r="BF34" s="1642"/>
      <c r="BG34" s="1642"/>
      <c r="BH34" s="1642"/>
      <c r="BI34" s="1642"/>
      <c r="BJ34" s="1642"/>
      <c r="BK34" s="1649" t="s">
        <v>588</v>
      </c>
      <c r="BL34" s="1642"/>
      <c r="BM34" s="1642"/>
      <c r="BN34" s="1642"/>
      <c r="BO34" s="1642"/>
      <c r="BP34" s="1642"/>
      <c r="BQ34" s="1642"/>
      <c r="BR34" s="1649" t="s">
        <v>588</v>
      </c>
      <c r="BS34" s="1642"/>
      <c r="BT34" s="1642"/>
      <c r="BU34" s="1642"/>
      <c r="BV34" s="1642"/>
      <c r="BW34" s="1642"/>
      <c r="BX34" s="1642"/>
      <c r="BY34" s="1649" t="s">
        <v>588</v>
      </c>
      <c r="BZ34" s="1642"/>
      <c r="CA34" s="1642"/>
      <c r="CB34" s="1642"/>
      <c r="CC34" s="1642"/>
      <c r="CD34" s="1642"/>
      <c r="CE34" s="1642"/>
      <c r="CF34" s="1649" t="s">
        <v>588</v>
      </c>
      <c r="CG34" s="1642"/>
      <c r="CH34" s="1642"/>
      <c r="CI34" s="1642"/>
      <c r="CJ34" s="1642"/>
      <c r="CK34" s="1642"/>
      <c r="CL34" s="1642"/>
      <c r="CM34" s="4525" t="s">
        <v>588</v>
      </c>
      <c r="CP34" s="375"/>
      <c r="CQ34" s="375"/>
      <c r="CR34" s="375"/>
      <c r="CS34" s="375"/>
      <c r="CT34" s="375"/>
      <c r="CU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J35" s="2259" t="s">
        <v>102</v>
      </c>
      <c r="AK35" s="2259"/>
      <c r="AL35" s="2259"/>
      <c r="AM35" s="2259"/>
      <c r="AN35" s="2259"/>
      <c r="AO35" s="2259"/>
      <c r="AP35" s="2259"/>
      <c r="AQ35" s="2259" t="s">
        <v>102</v>
      </c>
      <c r="AR35" s="2259"/>
      <c r="AS35" s="2259"/>
      <c r="AT35" s="2259"/>
      <c r="AU35" s="2259"/>
      <c r="AV35" s="2259"/>
      <c r="AW35" s="2259"/>
      <c r="AX35" s="2259" t="s">
        <v>102</v>
      </c>
      <c r="AY35" s="2259"/>
      <c r="AZ35" s="2259"/>
      <c r="BA35" s="2259"/>
      <c r="BB35" s="2259"/>
      <c r="BC35" s="2259"/>
      <c r="BD35" s="2259"/>
      <c r="BE35" s="2259" t="s">
        <v>102</v>
      </c>
      <c r="BF35" s="2259"/>
      <c r="BG35" s="2259"/>
      <c r="BH35" s="2259"/>
      <c r="BI35" s="2259"/>
      <c r="BJ35" s="2259"/>
      <c r="BK35" s="2259"/>
      <c r="BL35" s="2259" t="s">
        <v>102</v>
      </c>
      <c r="BM35" s="2259"/>
      <c r="BN35" s="2259"/>
      <c r="BO35" s="2259"/>
      <c r="BP35" s="2259"/>
      <c r="BQ35" s="2259"/>
      <c r="BR35" s="2259"/>
      <c r="BS35" s="2259" t="s">
        <v>102</v>
      </c>
      <c r="BT35" s="2259"/>
      <c r="BU35" s="2259"/>
      <c r="BV35" s="2259"/>
      <c r="BW35" s="2259"/>
      <c r="BX35" s="2259"/>
      <c r="BY35" s="2259"/>
      <c r="BZ35" s="2259" t="s">
        <v>102</v>
      </c>
      <c r="CA35" s="2259"/>
      <c r="CB35" s="2259"/>
      <c r="CC35" s="2259"/>
      <c r="CD35" s="2259"/>
      <c r="CE35" s="2259"/>
      <c r="CF35" s="2259"/>
      <c r="CG35" s="2259" t="s">
        <v>102</v>
      </c>
      <c r="CH35" s="2259"/>
      <c r="CI35" s="2259"/>
      <c r="CJ35" s="2259"/>
      <c r="CK35" s="2259"/>
      <c r="CL35" s="2259"/>
      <c r="CM35" s="4526"/>
      <c r="CU35" s="1162">
        <v>14</v>
      </c>
    </row>
    <row customHeight="1" ht="15">
      <c r="Q36" s="383"/>
      <c r="R36" s="383"/>
      <c r="S36" s="2134" t="s">
        <v>463</v>
      </c>
      <c r="T36" s="2134"/>
      <c r="U36" s="2134"/>
      <c r="V36" s="2134"/>
      <c r="W36" s="2134"/>
      <c r="X36" s="2134"/>
      <c r="Y36" s="2134"/>
      <c r="Z36" s="2134"/>
      <c r="AA36" s="2134"/>
      <c r="AB36" s="2134"/>
      <c r="AC36" s="2134"/>
      <c r="AD36" s="2134"/>
      <c r="AE36" s="2134"/>
      <c r="AF36" s="2134"/>
      <c r="AG36" s="2134"/>
      <c r="AH36" s="2134"/>
      <c r="AI36" s="2134"/>
      <c r="AJ36" s="2373" t="s">
        <v>463</v>
      </c>
      <c r="AK36" s="2373"/>
      <c r="AL36" s="2373"/>
      <c r="AM36" s="2373"/>
      <c r="AN36" s="2373"/>
      <c r="AO36" s="2373"/>
      <c r="AP36" s="2373"/>
      <c r="AQ36" s="2373" t="s">
        <v>463</v>
      </c>
      <c r="AR36" s="2373"/>
      <c r="AS36" s="2373"/>
      <c r="AT36" s="2373"/>
      <c r="AU36" s="2373"/>
      <c r="AV36" s="2373"/>
      <c r="AW36" s="2373"/>
      <c r="AX36" s="2373" t="s">
        <v>463</v>
      </c>
      <c r="AY36" s="2373"/>
      <c r="AZ36" s="2373"/>
      <c r="BA36" s="2373"/>
      <c r="BB36" s="2373"/>
      <c r="BC36" s="2373"/>
      <c r="BD36" s="2373"/>
      <c r="BE36" s="2373" t="s">
        <v>463</v>
      </c>
      <c r="BF36" s="2373"/>
      <c r="BG36" s="2373"/>
      <c r="BH36" s="2373"/>
      <c r="BI36" s="2373"/>
      <c r="BJ36" s="2373"/>
      <c r="BK36" s="2373"/>
      <c r="BL36" s="2373" t="s">
        <v>463</v>
      </c>
      <c r="BM36" s="2373"/>
      <c r="BN36" s="2373"/>
      <c r="BO36" s="2373"/>
      <c r="BP36" s="2373"/>
      <c r="BQ36" s="2373"/>
      <c r="BR36" s="2373"/>
      <c r="BS36" s="2373" t="s">
        <v>463</v>
      </c>
      <c r="BT36" s="2373"/>
      <c r="BU36" s="2373"/>
      <c r="BV36" s="2373"/>
      <c r="BW36" s="2373"/>
      <c r="BX36" s="2373"/>
      <c r="BY36" s="2373"/>
      <c r="BZ36" s="2373" t="s">
        <v>463</v>
      </c>
      <c r="CA36" s="2373"/>
      <c r="CB36" s="2373"/>
      <c r="CC36" s="2373"/>
      <c r="CD36" s="2373"/>
      <c r="CE36" s="2373"/>
      <c r="CF36" s="2373"/>
      <c r="CG36" s="2373" t="s">
        <v>463</v>
      </c>
      <c r="CH36" s="2373"/>
      <c r="CI36" s="2373"/>
      <c r="CJ36" s="2373"/>
      <c r="CK36" s="2373"/>
      <c r="CL36" s="2373"/>
      <c r="CM36" s="4527"/>
      <c r="CN36" s="2134"/>
      <c r="CO36" s="2134"/>
      <c r="CU36" s="1162"/>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406" t="s">
        <v>590</v>
      </c>
      <c r="AK37" s="2407"/>
      <c r="AL37" s="2407"/>
      <c r="AM37" s="2407"/>
      <c r="AN37" s="2407"/>
      <c r="AO37" s="2408"/>
      <c r="AP37" s="2284" t="s">
        <v>591</v>
      </c>
      <c r="AQ37" s="2406" t="s">
        <v>590</v>
      </c>
      <c r="AR37" s="2407"/>
      <c r="AS37" s="2407"/>
      <c r="AT37" s="2407"/>
      <c r="AU37" s="2407"/>
      <c r="AV37" s="2408"/>
      <c r="AW37" s="2284" t="s">
        <v>591</v>
      </c>
      <c r="AX37" s="2406" t="s">
        <v>590</v>
      </c>
      <c r="AY37" s="2407"/>
      <c r="AZ37" s="2407"/>
      <c r="BA37" s="2407"/>
      <c r="BB37" s="2407"/>
      <c r="BC37" s="2408"/>
      <c r="BD37" s="2284" t="s">
        <v>591</v>
      </c>
      <c r="BE37" s="2406" t="s">
        <v>590</v>
      </c>
      <c r="BF37" s="2407"/>
      <c r="BG37" s="2407"/>
      <c r="BH37" s="2407"/>
      <c r="BI37" s="2407"/>
      <c r="BJ37" s="2408"/>
      <c r="BK37" s="2284" t="s">
        <v>591</v>
      </c>
      <c r="BL37" s="2406" t="s">
        <v>590</v>
      </c>
      <c r="BM37" s="2407"/>
      <c r="BN37" s="2407"/>
      <c r="BO37" s="2407"/>
      <c r="BP37" s="2407"/>
      <c r="BQ37" s="2408"/>
      <c r="BR37" s="2284" t="s">
        <v>591</v>
      </c>
      <c r="BS37" s="2406" t="s">
        <v>590</v>
      </c>
      <c r="BT37" s="2407"/>
      <c r="BU37" s="2407"/>
      <c r="BV37" s="2407"/>
      <c r="BW37" s="2407"/>
      <c r="BX37" s="2408"/>
      <c r="BY37" s="2284" t="s">
        <v>591</v>
      </c>
      <c r="BZ37" s="2406" t="s">
        <v>590</v>
      </c>
      <c r="CA37" s="2407"/>
      <c r="CB37" s="2407"/>
      <c r="CC37" s="2407"/>
      <c r="CD37" s="2407"/>
      <c r="CE37" s="2408"/>
      <c r="CF37" s="2284" t="s">
        <v>591</v>
      </c>
      <c r="CG37" s="2406" t="s">
        <v>590</v>
      </c>
      <c r="CH37" s="2407"/>
      <c r="CI37" s="2407"/>
      <c r="CJ37" s="2407"/>
      <c r="CK37" s="2407"/>
      <c r="CL37" s="2408"/>
      <c r="CM37" s="4531" t="s">
        <v>591</v>
      </c>
      <c r="CN37" s="2287" t="s">
        <v>593</v>
      </c>
      <c r="CO37" s="2134"/>
      <c r="CU37" s="1162">
        <v>14</v>
      </c>
    </row>
    <row customHeight="1" ht="35.699999999999996">
      <c r="Q38" s="383"/>
      <c r="R38" s="383"/>
      <c r="S38" s="2280"/>
      <c r="T38" s="2216"/>
      <c r="U38" s="1038"/>
      <c r="V38" s="1359" t="s">
        <v>649</v>
      </c>
      <c r="W38" s="2269" t="s">
        <v>596</v>
      </c>
      <c r="X38" s="2270"/>
      <c r="Y38" s="2269" t="s">
        <v>597</v>
      </c>
      <c r="Z38" s="2276"/>
      <c r="AA38" s="2270"/>
      <c r="AB38" s="2285"/>
      <c r="AC38" s="1359" t="s">
        <v>649</v>
      </c>
      <c r="AD38" s="2269" t="s">
        <v>596</v>
      </c>
      <c r="AE38" s="2270"/>
      <c r="AF38" s="2269" t="s">
        <v>597</v>
      </c>
      <c r="AG38" s="2276"/>
      <c r="AH38" s="2270"/>
      <c r="AI38" s="2285"/>
      <c r="AJ38" s="2267" t="s">
        <v>649</v>
      </c>
      <c r="AK38" s="2269" t="s">
        <v>596</v>
      </c>
      <c r="AL38" s="2270"/>
      <c r="AM38" s="2269" t="s">
        <v>597</v>
      </c>
      <c r="AN38" s="2276"/>
      <c r="AO38" s="2270"/>
      <c r="AP38" s="2285"/>
      <c r="AQ38" s="2267" t="s">
        <v>649</v>
      </c>
      <c r="AR38" s="2269" t="s">
        <v>596</v>
      </c>
      <c r="AS38" s="2270"/>
      <c r="AT38" s="2269" t="s">
        <v>597</v>
      </c>
      <c r="AU38" s="2276"/>
      <c r="AV38" s="2270"/>
      <c r="AW38" s="2285"/>
      <c r="AX38" s="2267" t="s">
        <v>649</v>
      </c>
      <c r="AY38" s="2269" t="s">
        <v>596</v>
      </c>
      <c r="AZ38" s="2270"/>
      <c r="BA38" s="2269" t="s">
        <v>597</v>
      </c>
      <c r="BB38" s="2276"/>
      <c r="BC38" s="2270"/>
      <c r="BD38" s="2285"/>
      <c r="BE38" s="2267" t="s">
        <v>649</v>
      </c>
      <c r="BF38" s="2269" t="s">
        <v>596</v>
      </c>
      <c r="BG38" s="2270"/>
      <c r="BH38" s="2269" t="s">
        <v>597</v>
      </c>
      <c r="BI38" s="2276"/>
      <c r="BJ38" s="2270"/>
      <c r="BK38" s="2285"/>
      <c r="BL38" s="2267" t="s">
        <v>649</v>
      </c>
      <c r="BM38" s="2269" t="s">
        <v>596</v>
      </c>
      <c r="BN38" s="2270"/>
      <c r="BO38" s="2269" t="s">
        <v>597</v>
      </c>
      <c r="BP38" s="2276"/>
      <c r="BQ38" s="2270"/>
      <c r="BR38" s="2285"/>
      <c r="BS38" s="2267" t="s">
        <v>649</v>
      </c>
      <c r="BT38" s="2269" t="s">
        <v>596</v>
      </c>
      <c r="BU38" s="2270"/>
      <c r="BV38" s="2269" t="s">
        <v>597</v>
      </c>
      <c r="BW38" s="2276"/>
      <c r="BX38" s="2270"/>
      <c r="BY38" s="2285"/>
      <c r="BZ38" s="2267" t="s">
        <v>649</v>
      </c>
      <c r="CA38" s="2269" t="s">
        <v>596</v>
      </c>
      <c r="CB38" s="2270"/>
      <c r="CC38" s="2269" t="s">
        <v>597</v>
      </c>
      <c r="CD38" s="2276"/>
      <c r="CE38" s="2270"/>
      <c r="CF38" s="2285"/>
      <c r="CG38" s="2267" t="s">
        <v>649</v>
      </c>
      <c r="CH38" s="2269" t="s">
        <v>596</v>
      </c>
      <c r="CI38" s="2270"/>
      <c r="CJ38" s="2269" t="s">
        <v>597</v>
      </c>
      <c r="CK38" s="2276"/>
      <c r="CL38" s="2270"/>
      <c r="CM38" s="4535"/>
      <c r="CN38" s="2288"/>
      <c r="CO38" s="2134"/>
      <c r="CU38" s="1162">
        <v>34</v>
      </c>
    </row>
    <row customHeight="1" ht="35.699999999999996">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359" t="s">
        <v>652</v>
      </c>
      <c r="W39" s="1229" t="s">
        <v>653</v>
      </c>
      <c r="X39" s="1229" t="s">
        <v>654</v>
      </c>
      <c r="Y39" s="1364" t="s">
        <v>607</v>
      </c>
      <c r="Z39" s="2277" t="s">
        <v>608</v>
      </c>
      <c r="AA39" s="2278"/>
      <c r="AB39" s="2286"/>
      <c r="AC39" s="1359" t="s">
        <v>652</v>
      </c>
      <c r="AD39" s="1229" t="s">
        <v>653</v>
      </c>
      <c r="AE39" s="1229" t="s">
        <v>654</v>
      </c>
      <c r="AF39" s="1364" t="s">
        <v>607</v>
      </c>
      <c r="AG39" s="2277" t="s">
        <v>608</v>
      </c>
      <c r="AH39" s="2278"/>
      <c r="AI39" s="2286"/>
      <c r="AJ39" s="2267" t="s">
        <v>652</v>
      </c>
      <c r="AK39" s="2584" t="s">
        <v>653</v>
      </c>
      <c r="AL39" s="2584" t="s">
        <v>654</v>
      </c>
      <c r="AM39" s="2584" t="s">
        <v>607</v>
      </c>
      <c r="AN39" s="2277" t="s">
        <v>608</v>
      </c>
      <c r="AO39" s="2278"/>
      <c r="AP39" s="2286"/>
      <c r="AQ39" s="2267" t="s">
        <v>652</v>
      </c>
      <c r="AR39" s="2584" t="s">
        <v>653</v>
      </c>
      <c r="AS39" s="2584" t="s">
        <v>654</v>
      </c>
      <c r="AT39" s="2584" t="s">
        <v>607</v>
      </c>
      <c r="AU39" s="2277" t="s">
        <v>608</v>
      </c>
      <c r="AV39" s="2278"/>
      <c r="AW39" s="2286"/>
      <c r="AX39" s="2267" t="s">
        <v>652</v>
      </c>
      <c r="AY39" s="2584" t="s">
        <v>653</v>
      </c>
      <c r="AZ39" s="2584" t="s">
        <v>654</v>
      </c>
      <c r="BA39" s="2584" t="s">
        <v>607</v>
      </c>
      <c r="BB39" s="2277" t="s">
        <v>608</v>
      </c>
      <c r="BC39" s="2278"/>
      <c r="BD39" s="2286"/>
      <c r="BE39" s="2267" t="s">
        <v>652</v>
      </c>
      <c r="BF39" s="2584" t="s">
        <v>653</v>
      </c>
      <c r="BG39" s="2584" t="s">
        <v>654</v>
      </c>
      <c r="BH39" s="2584" t="s">
        <v>607</v>
      </c>
      <c r="BI39" s="2277" t="s">
        <v>608</v>
      </c>
      <c r="BJ39" s="2278"/>
      <c r="BK39" s="2286"/>
      <c r="BL39" s="2267" t="s">
        <v>652</v>
      </c>
      <c r="BM39" s="2584" t="s">
        <v>653</v>
      </c>
      <c r="BN39" s="2584" t="s">
        <v>654</v>
      </c>
      <c r="BO39" s="2584" t="s">
        <v>607</v>
      </c>
      <c r="BP39" s="2277" t="s">
        <v>608</v>
      </c>
      <c r="BQ39" s="2278"/>
      <c r="BR39" s="2286"/>
      <c r="BS39" s="2267" t="s">
        <v>652</v>
      </c>
      <c r="BT39" s="2584" t="s">
        <v>653</v>
      </c>
      <c r="BU39" s="2584" t="s">
        <v>654</v>
      </c>
      <c r="BV39" s="2584" t="s">
        <v>607</v>
      </c>
      <c r="BW39" s="2277" t="s">
        <v>608</v>
      </c>
      <c r="BX39" s="2278"/>
      <c r="BY39" s="2286"/>
      <c r="BZ39" s="2267" t="s">
        <v>652</v>
      </c>
      <c r="CA39" s="2584" t="s">
        <v>653</v>
      </c>
      <c r="CB39" s="2584" t="s">
        <v>654</v>
      </c>
      <c r="CC39" s="2584" t="s">
        <v>607</v>
      </c>
      <c r="CD39" s="2277" t="s">
        <v>608</v>
      </c>
      <c r="CE39" s="2278"/>
      <c r="CF39" s="2286"/>
      <c r="CG39" s="2267" t="s">
        <v>652</v>
      </c>
      <c r="CH39" s="2584" t="s">
        <v>653</v>
      </c>
      <c r="CI39" s="2584" t="s">
        <v>654</v>
      </c>
      <c r="CJ39" s="2584" t="s">
        <v>607</v>
      </c>
      <c r="CK39" s="2277" t="s">
        <v>608</v>
      </c>
      <c r="CL39" s="2278"/>
      <c r="CM39" s="4538"/>
      <c r="CN39" s="2289"/>
      <c r="CO39" s="2134"/>
      <c r="CU39" s="1162">
        <v>34</v>
      </c>
    </row>
    <row s="1648" customFormat="1" customHeight="1" ht="11.25" hidden="1">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360">
        <f>OFFSET(V40,0,-1)+1</f>
        <v>3</v>
      </c>
      <c r="W40" s="1360">
        <f>OFFSET(W40,0,-1)+1</f>
        <v>4</v>
      </c>
      <c r="X40" s="1360">
        <f>OFFSET(X40,0,-1)+1</f>
        <v>5</v>
      </c>
      <c r="Y40" s="1360">
        <f>OFFSET(Y40,0,-1)+1</f>
        <v>6</v>
      </c>
      <c r="Z40" s="2279">
        <f>OFFSET(Z40,0,-1)+1</f>
        <v>7</v>
      </c>
      <c r="AA40" s="2279"/>
      <c r="AB40" s="1360">
        <f>OFFSET(AB40,0,-2)+1</f>
        <v>8</v>
      </c>
      <c r="AC40" s="1360">
        <f>OFFSET(AC40,0,-1)+1</f>
        <v>9</v>
      </c>
      <c r="AD40" s="1360">
        <f>OFFSET(AD40,0,-1)+1</f>
        <v>10</v>
      </c>
      <c r="AE40" s="1360">
        <f>OFFSET(AE40,0,-1)+1</f>
        <v>11</v>
      </c>
      <c r="AF40" s="1360">
        <f>OFFSET(AF40,0,-1)+1</f>
        <v>12</v>
      </c>
      <c r="AG40" s="2279">
        <f>OFFSET(AG40,0,-1)+1</f>
        <v>13</v>
      </c>
      <c r="AH40" s="2279"/>
      <c r="AI40" s="1360">
        <f>OFFSET(AI40,0,-2)+1</f>
        <v>14</v>
      </c>
      <c r="AJ40" s="2279">
        <f>OFFSET(AJ40,0,-1)+1</f>
        <v>15</v>
      </c>
      <c r="AK40" s="2279">
        <f>OFFSET(AK40,0,-1)+1</f>
        <v>16</v>
      </c>
      <c r="AL40" s="2279">
        <f>OFFSET(AL40,0,-1)+1</f>
        <v>17</v>
      </c>
      <c r="AM40" s="2279">
        <f>OFFSET(AM40,0,-1)+1</f>
        <v>18</v>
      </c>
      <c r="AN40" s="2279">
        <f>OFFSET(AN40,0,-1)+1</f>
        <v>19</v>
      </c>
      <c r="AO40" s="2279"/>
      <c r="AP40" s="2279">
        <f>OFFSET(AP40,0,-2)+1</f>
        <v>20</v>
      </c>
      <c r="AQ40" s="2279">
        <f>OFFSET(AQ40,0,-1)+1</f>
        <v>21</v>
      </c>
      <c r="AR40" s="2279">
        <f>OFFSET(AR40,0,-1)+1</f>
        <v>22</v>
      </c>
      <c r="AS40" s="2279">
        <f>OFFSET(AS40,0,-1)+1</f>
        <v>23</v>
      </c>
      <c r="AT40" s="2279">
        <f>OFFSET(AT40,0,-1)+1</f>
        <v>24</v>
      </c>
      <c r="AU40" s="2279">
        <f>OFFSET(AU40,0,-1)+1</f>
        <v>25</v>
      </c>
      <c r="AV40" s="2279"/>
      <c r="AW40" s="2279">
        <f>OFFSET(AW40,0,-2)+1</f>
        <v>26</v>
      </c>
      <c r="AX40" s="2279">
        <f>OFFSET(AX40,0,-1)+1</f>
        <v>27</v>
      </c>
      <c r="AY40" s="2279">
        <f>OFFSET(AY40,0,-1)+1</f>
        <v>28</v>
      </c>
      <c r="AZ40" s="2279">
        <f>OFFSET(AZ40,0,-1)+1</f>
        <v>29</v>
      </c>
      <c r="BA40" s="2279">
        <f>OFFSET(BA40,0,-1)+1</f>
        <v>30</v>
      </c>
      <c r="BB40" s="2279">
        <f>OFFSET(BB40,0,-1)+1</f>
        <v>31</v>
      </c>
      <c r="BC40" s="2279"/>
      <c r="BD40" s="2279">
        <f>OFFSET(BD40,0,-2)+1</f>
        <v>32</v>
      </c>
      <c r="BE40" s="2279">
        <f>OFFSET(BE40,0,-1)+1</f>
        <v>33</v>
      </c>
      <c r="BF40" s="2279">
        <f>OFFSET(BF40,0,-1)+1</f>
        <v>34</v>
      </c>
      <c r="BG40" s="2279">
        <f>OFFSET(BG40,0,-1)+1</f>
        <v>35</v>
      </c>
      <c r="BH40" s="2279">
        <f>OFFSET(BH40,0,-1)+1</f>
        <v>36</v>
      </c>
      <c r="BI40" s="2279">
        <f>OFFSET(BI40,0,-1)+1</f>
        <v>37</v>
      </c>
      <c r="BJ40" s="2279"/>
      <c r="BK40" s="2279">
        <f>OFFSET(BK40,0,-2)+1</f>
        <v>38</v>
      </c>
      <c r="BL40" s="2279">
        <f>OFFSET(BL40,0,-1)+1</f>
        <v>39</v>
      </c>
      <c r="BM40" s="2279">
        <f>OFFSET(BM40,0,-1)+1</f>
        <v>40</v>
      </c>
      <c r="BN40" s="2279">
        <f>OFFSET(BN40,0,-1)+1</f>
        <v>41</v>
      </c>
      <c r="BO40" s="2279">
        <f>OFFSET(BO40,0,-1)+1</f>
        <v>42</v>
      </c>
      <c r="BP40" s="2279">
        <f>OFFSET(BP40,0,-1)+1</f>
        <v>43</v>
      </c>
      <c r="BQ40" s="2279"/>
      <c r="BR40" s="2279">
        <f>OFFSET(BR40,0,-2)+1</f>
        <v>44</v>
      </c>
      <c r="BS40" s="2279">
        <f>OFFSET(BS40,0,-1)+1</f>
        <v>45</v>
      </c>
      <c r="BT40" s="2279">
        <f>OFFSET(BT40,0,-1)+1</f>
        <v>46</v>
      </c>
      <c r="BU40" s="2279">
        <f>OFFSET(BU40,0,-1)+1</f>
        <v>47</v>
      </c>
      <c r="BV40" s="2279">
        <f>OFFSET(BV40,0,-1)+1</f>
        <v>48</v>
      </c>
      <c r="BW40" s="2279">
        <f>OFFSET(BW40,0,-1)+1</f>
        <v>49</v>
      </c>
      <c r="BX40" s="2279"/>
      <c r="BY40" s="2279">
        <f>OFFSET(BY40,0,-2)+1</f>
        <v>50</v>
      </c>
      <c r="BZ40" s="2279">
        <f>OFFSET(BZ40,0,-1)+1</f>
        <v>51</v>
      </c>
      <c r="CA40" s="2279">
        <f>OFFSET(CA40,0,-1)+1</f>
        <v>52</v>
      </c>
      <c r="CB40" s="2279">
        <f>OFFSET(CB40,0,-1)+1</f>
        <v>53</v>
      </c>
      <c r="CC40" s="2279">
        <f>OFFSET(CC40,0,-1)+1</f>
        <v>54</v>
      </c>
      <c r="CD40" s="2279">
        <f>OFFSET(CD40,0,-1)+1</f>
        <v>55</v>
      </c>
      <c r="CE40" s="2279"/>
      <c r="CF40" s="2279">
        <f>OFFSET(CF40,0,-2)+1</f>
        <v>56</v>
      </c>
      <c r="CG40" s="2279">
        <f>OFFSET(CG40,0,-1)+1</f>
        <v>57</v>
      </c>
      <c r="CH40" s="2279">
        <f>OFFSET(CH40,0,-1)+1</f>
        <v>58</v>
      </c>
      <c r="CI40" s="2279">
        <f>OFFSET(CI40,0,-1)+1</f>
        <v>59</v>
      </c>
      <c r="CJ40" s="2279">
        <f>OFFSET(CJ40,0,-1)+1</f>
        <v>60</v>
      </c>
      <c r="CK40" s="2279">
        <f>OFFSET(CK40,0,-1)+1</f>
        <v>61</v>
      </c>
      <c r="CL40" s="2279"/>
      <c r="CM40" s="4539">
        <f>OFFSET(CM40,0,-2)+1</f>
        <v>62</v>
      </c>
      <c r="CN40" s="1252">
        <f>OFFSET(CN40,0,-1)</f>
        <v>62</v>
      </c>
      <c r="CO40" s="1360">
        <f>OFFSET(CO40,0,-1)+1</f>
        <v>63</v>
      </c>
      <c r="CP40" s="518"/>
      <c r="CQ40" s="518"/>
      <c r="CR40" s="518"/>
      <c r="CS40" s="518"/>
      <c r="CT40" s="518"/>
      <c r="CU40" s="503">
        <v>0</v>
      </c>
    </row>
    <row customHeight="1" ht="24">
      <c r="A41" s="1370" t="s">
        <v>313</v>
      </c>
      <c r="B41" s="1370"/>
      <c r="C41" s="1370"/>
      <c r="D41" s="1370"/>
      <c r="E41" s="2265">
        <v>1</v>
      </c>
      <c r="F41" s="1370"/>
      <c r="G41" s="1370"/>
      <c r="H41" s="1370"/>
      <c r="I41" s="1370"/>
      <c r="J41" s="1370"/>
      <c r="K41" s="1370"/>
      <c r="L41" s="1371"/>
      <c r="M41" s="1372"/>
      <c r="N41" s="1372"/>
      <c r="O41" s="1372"/>
      <c r="P41" s="368"/>
      <c r="Q41" s="367"/>
      <c r="R41" s="362"/>
      <c r="S41" s="1365">
        <f>INDEX(PT_DIFFERENTIATION_NUM_NTAR,MATCH(A41,PT_DIFFERENTIATION_NTAR_ID,0))</f>
        <v>1</v>
      </c>
      <c r="T41" s="305" t="s">
        <v>215</v>
      </c>
      <c r="U41" s="307"/>
      <c r="V41" s="2249"/>
      <c r="W41" s="2250"/>
      <c r="X41" s="2250"/>
      <c r="Y41" s="2250"/>
      <c r="Z41" s="2250"/>
      <c r="AA41" s="2250"/>
      <c r="AB41" s="2251"/>
      <c r="AC41" s="2249" t="str">
        <f>INDEX(PT_DIFFERENTIATION_NTAR,MATCH(A41,PT_DIFFERENTIATION_NTAR_ID,0))</f>
        <v>Холодное водоснабжение. Питьевая вода</v>
      </c>
      <c r="AD41" s="2250"/>
      <c r="AE41" s="2250"/>
      <c r="AF41" s="2250"/>
      <c r="AG41" s="2250"/>
      <c r="AH41" s="2250"/>
      <c r="AI41" s="2250"/>
      <c r="AJ41" s="2249"/>
      <c r="AK41" s="2250"/>
      <c r="AL41" s="2250"/>
      <c r="AM41" s="2250"/>
      <c r="AN41" s="2250"/>
      <c r="AO41" s="2250"/>
      <c r="AP41" s="2251"/>
      <c r="AQ41" s="2249"/>
      <c r="AR41" s="2250"/>
      <c r="AS41" s="2250"/>
      <c r="AT41" s="2250"/>
      <c r="AU41" s="2250"/>
      <c r="AV41" s="2250"/>
      <c r="AW41" s="2251"/>
      <c r="AX41" s="2249"/>
      <c r="AY41" s="2250"/>
      <c r="AZ41" s="2250"/>
      <c r="BA41" s="2250"/>
      <c r="BB41" s="2250"/>
      <c r="BC41" s="2250"/>
      <c r="BD41" s="2251"/>
      <c r="BE41" s="2249"/>
      <c r="BF41" s="2250"/>
      <c r="BG41" s="2250"/>
      <c r="BH41" s="2250"/>
      <c r="BI41" s="2250"/>
      <c r="BJ41" s="2250"/>
      <c r="BK41" s="2251"/>
      <c r="BL41" s="2249"/>
      <c r="BM41" s="2250"/>
      <c r="BN41" s="2250"/>
      <c r="BO41" s="2250"/>
      <c r="BP41" s="2250"/>
      <c r="BQ41" s="2250"/>
      <c r="BR41" s="2251"/>
      <c r="BS41" s="2249"/>
      <c r="BT41" s="2250"/>
      <c r="BU41" s="2250"/>
      <c r="BV41" s="2250"/>
      <c r="BW41" s="2250"/>
      <c r="BX41" s="2250"/>
      <c r="BY41" s="2251"/>
      <c r="BZ41" s="2249"/>
      <c r="CA41" s="2250"/>
      <c r="CB41" s="2250"/>
      <c r="CC41" s="2250"/>
      <c r="CD41" s="2250"/>
      <c r="CE41" s="2250"/>
      <c r="CF41" s="2251"/>
      <c r="CG41" s="2249"/>
      <c r="CH41" s="2250"/>
      <c r="CI41" s="2250"/>
      <c r="CJ41" s="2250"/>
      <c r="CK41" s="2250"/>
      <c r="CL41" s="2250"/>
      <c r="CM41" s="4492"/>
      <c r="CN41" s="2251"/>
      <c r="CO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CQ41" s="507"/>
      <c r="CR41" s="507" t="str">
        <f>IF(T41="","",T41)</f>
        <v>Наименование тарифа</v>
      </c>
      <c r="CS41" s="507"/>
      <c r="CT41" s="507"/>
      <c r="CU41" s="1162">
        <v>23</v>
      </c>
    </row>
    <row customHeight="1" ht="24">
      <c r="A42" s="1370" t="s">
        <v>313</v>
      </c>
      <c r="B42" s="1370" t="s">
        <v>314</v>
      </c>
      <c r="C42" s="1370"/>
      <c r="D42" s="1370"/>
      <c r="E42" s="2266"/>
      <c r="F42" s="2265">
        <v>1</v>
      </c>
      <c r="G42" s="1370"/>
      <c r="H42" s="1370"/>
      <c r="I42" s="1370"/>
      <c r="J42" s="1370"/>
      <c r="K42" s="1370"/>
      <c r="L42" s="1371"/>
      <c r="M42" s="1372"/>
      <c r="N42" s="1372"/>
      <c r="O42" s="1372"/>
      <c r="P42" s="1363"/>
      <c r="Q42" s="359"/>
      <c r="R42" s="360"/>
      <c r="S42" s="1365" t="str">
        <f>INDEX(PT_DIFFERENTIATION_NUM_TER,MATCH(B42,PT_DIFFERENTIATION_TER_ID,0))</f>
        <v>1.1</v>
      </c>
      <c r="T42" s="315" t="s">
        <v>560</v>
      </c>
      <c r="U42" s="307"/>
      <c r="V42" s="2249"/>
      <c r="W42" s="2250"/>
      <c r="X42" s="2250"/>
      <c r="Y42" s="2250"/>
      <c r="Z42" s="2250"/>
      <c r="AA42" s="2250"/>
      <c r="AB42" s="2251"/>
      <c r="AC42" s="2249" t="str">
        <f>INDEX(PT_DIFFERENTIATION_TER,MATCH(B42,PT_DIFFERENTIATION_TER_ID,0))</f>
        <v>Территория 1</v>
      </c>
      <c r="AD42" s="2250"/>
      <c r="AE42" s="2250"/>
      <c r="AF42" s="2250"/>
      <c r="AG42" s="2250"/>
      <c r="AH42" s="2250"/>
      <c r="AI42" s="2250"/>
      <c r="AJ42" s="2249"/>
      <c r="AK42" s="2250"/>
      <c r="AL42" s="2250"/>
      <c r="AM42" s="2250"/>
      <c r="AN42" s="2250"/>
      <c r="AO42" s="2250"/>
      <c r="AP42" s="2251"/>
      <c r="AQ42" s="2249"/>
      <c r="AR42" s="2250"/>
      <c r="AS42" s="2250"/>
      <c r="AT42" s="2250"/>
      <c r="AU42" s="2250"/>
      <c r="AV42" s="2250"/>
      <c r="AW42" s="2251"/>
      <c r="AX42" s="2249"/>
      <c r="AY42" s="2250"/>
      <c r="AZ42" s="2250"/>
      <c r="BA42" s="2250"/>
      <c r="BB42" s="2250"/>
      <c r="BC42" s="2250"/>
      <c r="BD42" s="2251"/>
      <c r="BE42" s="2249"/>
      <c r="BF42" s="2250"/>
      <c r="BG42" s="2250"/>
      <c r="BH42" s="2250"/>
      <c r="BI42" s="2250"/>
      <c r="BJ42" s="2250"/>
      <c r="BK42" s="2251"/>
      <c r="BL42" s="2249"/>
      <c r="BM42" s="2250"/>
      <c r="BN42" s="2250"/>
      <c r="BO42" s="2250"/>
      <c r="BP42" s="2250"/>
      <c r="BQ42" s="2250"/>
      <c r="BR42" s="2251"/>
      <c r="BS42" s="2249"/>
      <c r="BT42" s="2250"/>
      <c r="BU42" s="2250"/>
      <c r="BV42" s="2250"/>
      <c r="BW42" s="2250"/>
      <c r="BX42" s="2250"/>
      <c r="BY42" s="2251"/>
      <c r="BZ42" s="2249"/>
      <c r="CA42" s="2250"/>
      <c r="CB42" s="2250"/>
      <c r="CC42" s="2250"/>
      <c r="CD42" s="2250"/>
      <c r="CE42" s="2250"/>
      <c r="CF42" s="2251"/>
      <c r="CG42" s="2249"/>
      <c r="CH42" s="2250"/>
      <c r="CI42" s="2250"/>
      <c r="CJ42" s="2250"/>
      <c r="CK42" s="2250"/>
      <c r="CL42" s="2250"/>
      <c r="CM42" s="4492"/>
      <c r="CN42" s="2251"/>
      <c r="CO42" s="1265" t="s">
        <v>561</v>
      </c>
      <c r="CQ42" s="507"/>
      <c r="CR42" s="507" t="str">
        <f>IF(T42="","",T42)</f>
        <v>Территория действия тарифа</v>
      </c>
      <c r="CS42" s="507"/>
      <c r="CT42" s="507"/>
      <c r="CU42" s="1162">
        <v>23</v>
      </c>
    </row>
    <row customHeight="1" ht="24">
      <c r="A43" s="1370" t="s">
        <v>313</v>
      </c>
      <c r="B43" s="1370" t="s">
        <v>314</v>
      </c>
      <c r="C43" s="1370" t="s">
        <v>315</v>
      </c>
      <c r="D43" s="1370"/>
      <c r="E43" s="2266"/>
      <c r="F43" s="2266"/>
      <c r="G43" s="2265">
        <v>1</v>
      </c>
      <c r="H43" s="1370"/>
      <c r="I43" s="1370"/>
      <c r="J43" s="1370"/>
      <c r="K43" s="1370"/>
      <c r="L43" s="1371"/>
      <c r="M43" s="1372"/>
      <c r="N43" s="1372"/>
      <c r="O43" s="1372"/>
      <c r="P43" s="361"/>
      <c r="Q43" s="359"/>
      <c r="R43" s="360"/>
      <c r="S43" s="1365" t="str">
        <f>INDEX(PT_DIFFERENTIATION_NUM_CS,MATCH(C43,PT_DIFFERENTIATION_CS_ID,0))</f>
        <v>1.1.1</v>
      </c>
      <c r="T43" s="316" t="s">
        <v>641</v>
      </c>
      <c r="U43" s="307"/>
      <c r="V43" s="2249"/>
      <c r="W43" s="2250"/>
      <c r="X43" s="2250"/>
      <c r="Y43" s="2250"/>
      <c r="Z43" s="2250"/>
      <c r="AA43" s="2250"/>
      <c r="AB43" s="2251"/>
      <c r="AC43" s="2249" t="str">
        <f>INDEX(PT_DIFFERENTIATION_CS,MATCH(C43,PT_DIFFERENTIATION_CS_ID,0))</f>
        <v>г. Белгород и Белгородский район</v>
      </c>
      <c r="AD43" s="2250"/>
      <c r="AE43" s="2250"/>
      <c r="AF43" s="2250"/>
      <c r="AG43" s="2250"/>
      <c r="AH43" s="2250"/>
      <c r="AI43" s="2250"/>
      <c r="AJ43" s="2249"/>
      <c r="AK43" s="2250"/>
      <c r="AL43" s="2250"/>
      <c r="AM43" s="2250"/>
      <c r="AN43" s="2250"/>
      <c r="AO43" s="2250"/>
      <c r="AP43" s="2251"/>
      <c r="AQ43" s="2249"/>
      <c r="AR43" s="2250"/>
      <c r="AS43" s="2250"/>
      <c r="AT43" s="2250"/>
      <c r="AU43" s="2250"/>
      <c r="AV43" s="2250"/>
      <c r="AW43" s="2251"/>
      <c r="AX43" s="2249"/>
      <c r="AY43" s="2250"/>
      <c r="AZ43" s="2250"/>
      <c r="BA43" s="2250"/>
      <c r="BB43" s="2250"/>
      <c r="BC43" s="2250"/>
      <c r="BD43" s="2251"/>
      <c r="BE43" s="2249"/>
      <c r="BF43" s="2250"/>
      <c r="BG43" s="2250"/>
      <c r="BH43" s="2250"/>
      <c r="BI43" s="2250"/>
      <c r="BJ43" s="2250"/>
      <c r="BK43" s="2251"/>
      <c r="BL43" s="2249"/>
      <c r="BM43" s="2250"/>
      <c r="BN43" s="2250"/>
      <c r="BO43" s="2250"/>
      <c r="BP43" s="2250"/>
      <c r="BQ43" s="2250"/>
      <c r="BR43" s="2251"/>
      <c r="BS43" s="2249"/>
      <c r="BT43" s="2250"/>
      <c r="BU43" s="2250"/>
      <c r="BV43" s="2250"/>
      <c r="BW43" s="2250"/>
      <c r="BX43" s="2250"/>
      <c r="BY43" s="2251"/>
      <c r="BZ43" s="2249"/>
      <c r="CA43" s="2250"/>
      <c r="CB43" s="2250"/>
      <c r="CC43" s="2250"/>
      <c r="CD43" s="2250"/>
      <c r="CE43" s="2250"/>
      <c r="CF43" s="2251"/>
      <c r="CG43" s="2249"/>
      <c r="CH43" s="2250"/>
      <c r="CI43" s="2250"/>
      <c r="CJ43" s="2250"/>
      <c r="CK43" s="2250"/>
      <c r="CL43" s="2250"/>
      <c r="CM43" s="4492"/>
      <c r="CN43" s="2251"/>
      <c r="CO43" s="1265" t="s">
        <v>642</v>
      </c>
      <c r="CQ43" s="507"/>
      <c r="CR43" s="507" t="str">
        <f>IF(T43="","",T43)</f>
        <v>Наименование централизованной системы холодного водоснабжения</v>
      </c>
      <c r="CS43" s="507"/>
      <c r="CT43" s="507"/>
      <c r="CU43" s="1162">
        <v>23</v>
      </c>
    </row>
    <row customHeight="1" ht="24">
      <c r="A44" s="1370" t="s">
        <v>313</v>
      </c>
      <c r="B44" s="1370" t="s">
        <v>314</v>
      </c>
      <c r="C44" s="1370" t="s">
        <v>315</v>
      </c>
      <c r="D44" s="1370" t="s">
        <v>655</v>
      </c>
      <c r="E44" s="2266"/>
      <c r="F44" s="2266"/>
      <c r="G44" s="2266"/>
      <c r="H44" s="2266"/>
      <c r="I44" s="2263" t="str">
        <f>S43&amp;".1"</f>
        <v>1.1.1.1</v>
      </c>
      <c r="J44" s="1370"/>
      <c r="K44" s="1370"/>
      <c r="L44" s="1371"/>
      <c r="P44" s="2264">
        <v>1</v>
      </c>
      <c r="Q44" s="1361"/>
      <c r="R44" s="363"/>
      <c r="S44" s="1365" t="str">
        <f>$I44</f>
        <v>1.1.1.1</v>
      </c>
      <c r="T44" s="292" t="s">
        <v>643</v>
      </c>
      <c r="U44" s="307"/>
      <c r="V44" s="2357"/>
      <c r="W44" s="2358"/>
      <c r="X44" s="2358"/>
      <c r="Y44" s="2358"/>
      <c r="Z44" s="2358"/>
      <c r="AA44" s="2358"/>
      <c r="AB44" s="2359"/>
      <c r="AC44" s="2360" t="s">
        <v>310</v>
      </c>
      <c r="AD44" s="2361"/>
      <c r="AE44" s="2361"/>
      <c r="AF44" s="2361"/>
      <c r="AG44" s="2361"/>
      <c r="AH44" s="2361"/>
      <c r="AI44" s="2361"/>
      <c r="AJ44" s="2357"/>
      <c r="AK44" s="2358"/>
      <c r="AL44" s="2358"/>
      <c r="AM44" s="2358"/>
      <c r="AN44" s="2358"/>
      <c r="AO44" s="2358"/>
      <c r="AP44" s="2359"/>
      <c r="AQ44" s="2357"/>
      <c r="AR44" s="2358"/>
      <c r="AS44" s="2358"/>
      <c r="AT44" s="2358"/>
      <c r="AU44" s="2358"/>
      <c r="AV44" s="2358"/>
      <c r="AW44" s="2359"/>
      <c r="AX44" s="2357"/>
      <c r="AY44" s="2358"/>
      <c r="AZ44" s="2358"/>
      <c r="BA44" s="2358"/>
      <c r="BB44" s="2358"/>
      <c r="BC44" s="2358"/>
      <c r="BD44" s="2359"/>
      <c r="BE44" s="2357"/>
      <c r="BF44" s="2358"/>
      <c r="BG44" s="2358"/>
      <c r="BH44" s="2358"/>
      <c r="BI44" s="2358"/>
      <c r="BJ44" s="2358"/>
      <c r="BK44" s="2359"/>
      <c r="BL44" s="2357"/>
      <c r="BM44" s="2358"/>
      <c r="BN44" s="2358"/>
      <c r="BO44" s="2358"/>
      <c r="BP44" s="2358"/>
      <c r="BQ44" s="2358"/>
      <c r="BR44" s="2359"/>
      <c r="BS44" s="2357"/>
      <c r="BT44" s="2358"/>
      <c r="BU44" s="2358"/>
      <c r="BV44" s="2358"/>
      <c r="BW44" s="2358"/>
      <c r="BX44" s="2358"/>
      <c r="BY44" s="2359"/>
      <c r="BZ44" s="2357"/>
      <c r="CA44" s="2358"/>
      <c r="CB44" s="2358"/>
      <c r="CC44" s="2358"/>
      <c r="CD44" s="2358"/>
      <c r="CE44" s="2358"/>
      <c r="CF44" s="2359"/>
      <c r="CG44" s="2357"/>
      <c r="CH44" s="2358"/>
      <c r="CI44" s="2358"/>
      <c r="CJ44" s="2358"/>
      <c r="CK44" s="2358"/>
      <c r="CL44" s="2358"/>
      <c r="CM44" s="4495"/>
      <c r="CN44" s="2362"/>
      <c r="CO44" s="1265" t="s">
        <v>644</v>
      </c>
      <c r="CQ44" s="507"/>
      <c r="CR44" s="507" t="str">
        <f>IF(T44="","",T44)</f>
        <v>Наименование признака дифференциации</v>
      </c>
      <c r="CS44" s="507"/>
      <c r="CT44" s="507"/>
      <c r="CU44" s="1162">
        <v>23</v>
      </c>
    </row>
    <row customHeight="1" ht="24">
      <c r="A45" s="1370" t="s">
        <v>313</v>
      </c>
      <c r="B45" s="1370" t="s">
        <v>314</v>
      </c>
      <c r="C45" s="1370" t="s">
        <v>315</v>
      </c>
      <c r="D45" s="1370" t="s">
        <v>655</v>
      </c>
      <c r="E45" s="2266"/>
      <c r="F45" s="2266"/>
      <c r="G45" s="2266"/>
      <c r="H45" s="2266"/>
      <c r="I45" s="2293"/>
      <c r="J45" s="2263" t="str">
        <f>I44&amp;".1"</f>
        <v>1.1.1.1.1</v>
      </c>
      <c r="K45" s="1370"/>
      <c r="L45" s="1371" t="s">
        <v>569</v>
      </c>
      <c r="P45" s="2264"/>
      <c r="Q45" s="2264">
        <v>1</v>
      </c>
      <c r="R45" s="364"/>
      <c r="S45" s="1365" t="str">
        <f>$J45</f>
        <v>1.1.1.1.1</v>
      </c>
      <c r="T45" s="293" t="s">
        <v>570</v>
      </c>
      <c r="U45" s="307"/>
      <c r="V45" s="2252"/>
      <c r="W45" s="2253"/>
      <c r="X45" s="2253"/>
      <c r="Y45" s="2253"/>
      <c r="Z45" s="2253"/>
      <c r="AA45" s="2253"/>
      <c r="AB45" s="2254"/>
      <c r="AC45" s="2252" t="s">
        <v>656</v>
      </c>
      <c r="AD45" s="2253"/>
      <c r="AE45" s="2253"/>
      <c r="AF45" s="2253"/>
      <c r="AG45" s="2253"/>
      <c r="AH45" s="2253"/>
      <c r="AI45" s="2253"/>
      <c r="AJ45" s="2252"/>
      <c r="AK45" s="2253"/>
      <c r="AL45" s="2253"/>
      <c r="AM45" s="2253"/>
      <c r="AN45" s="2253"/>
      <c r="AO45" s="2253"/>
      <c r="AP45" s="2254"/>
      <c r="AQ45" s="2252"/>
      <c r="AR45" s="2253"/>
      <c r="AS45" s="2253"/>
      <c r="AT45" s="2253"/>
      <c r="AU45" s="2253"/>
      <c r="AV45" s="2253"/>
      <c r="AW45" s="2254"/>
      <c r="AX45" s="2252"/>
      <c r="AY45" s="2253"/>
      <c r="AZ45" s="2253"/>
      <c r="BA45" s="2253"/>
      <c r="BB45" s="2253"/>
      <c r="BC45" s="2253"/>
      <c r="BD45" s="2254"/>
      <c r="BE45" s="2252"/>
      <c r="BF45" s="2253"/>
      <c r="BG45" s="2253"/>
      <c r="BH45" s="2253"/>
      <c r="BI45" s="2253"/>
      <c r="BJ45" s="2253"/>
      <c r="BK45" s="2254"/>
      <c r="BL45" s="2252"/>
      <c r="BM45" s="2253"/>
      <c r="BN45" s="2253"/>
      <c r="BO45" s="2253"/>
      <c r="BP45" s="2253"/>
      <c r="BQ45" s="2253"/>
      <c r="BR45" s="2254"/>
      <c r="BS45" s="2252"/>
      <c r="BT45" s="2253"/>
      <c r="BU45" s="2253"/>
      <c r="BV45" s="2253"/>
      <c r="BW45" s="2253"/>
      <c r="BX45" s="2253"/>
      <c r="BY45" s="2254"/>
      <c r="BZ45" s="2252"/>
      <c r="CA45" s="2253"/>
      <c r="CB45" s="2253"/>
      <c r="CC45" s="2253"/>
      <c r="CD45" s="2253"/>
      <c r="CE45" s="2253"/>
      <c r="CF45" s="2254"/>
      <c r="CG45" s="2252"/>
      <c r="CH45" s="2253"/>
      <c r="CI45" s="2253"/>
      <c r="CJ45" s="2253"/>
      <c r="CK45" s="2253"/>
      <c r="CL45" s="2253"/>
      <c r="CM45" s="4498"/>
      <c r="CN45" s="2254"/>
      <c r="CO45" s="1314" t="s">
        <v>645</v>
      </c>
      <c r="CQ45" s="507"/>
      <c r="CR45" s="507" t="str">
        <f>IF(T45="","",T45)</f>
        <v>Группа потребителей</v>
      </c>
      <c r="CS45" s="507"/>
      <c r="CT45" s="507"/>
      <c r="CU45" s="1162">
        <v>23</v>
      </c>
    </row>
    <row customHeight="1" ht="24">
      <c r="A46" s="1370" t="s">
        <v>313</v>
      </c>
      <c r="B46" s="1370" t="s">
        <v>314</v>
      </c>
      <c r="C46" s="1370" t="s">
        <v>315</v>
      </c>
      <c r="D46" s="1370" t="s">
        <v>655</v>
      </c>
      <c r="E46" s="2266"/>
      <c r="F46" s="2266"/>
      <c r="G46" s="2266"/>
      <c r="H46" s="2266"/>
      <c r="I46" s="2293"/>
      <c r="J46" s="2293"/>
      <c r="K46" s="2263" t="str">
        <f>J45&amp;".1"</f>
        <v>1.1.1.1.1.1</v>
      </c>
      <c r="L46" s="1371"/>
      <c r="P46" s="2264"/>
      <c r="Q46" s="2264"/>
      <c r="R46" s="364">
        <v>1</v>
      </c>
      <c r="S46" s="1365" t="str">
        <f>$K46</f>
        <v>1.1.1.1.1.1</v>
      </c>
      <c r="T46" s="1444" t="s">
        <v>657</v>
      </c>
      <c r="U46" s="307"/>
      <c r="V46" s="758"/>
      <c r="W46" s="758"/>
      <c r="X46" s="1264"/>
      <c r="Y46" s="2609"/>
      <c r="Z46" s="2114" t="s">
        <v>66</v>
      </c>
      <c r="AA46" s="2294"/>
      <c r="AB46" s="2114" t="s">
        <v>66</v>
      </c>
      <c r="AC46" s="758">
        <v>24.56</v>
      </c>
      <c r="AD46" s="758"/>
      <c r="AE46" s="1264"/>
      <c r="AF46" s="2609">
        <v>44896</v>
      </c>
      <c r="AG46" s="2114" t="s">
        <v>66</v>
      </c>
      <c r="AH46" s="2294">
        <v>45291</v>
      </c>
      <c r="AI46" s="2114" t="s">
        <v>66</v>
      </c>
      <c r="AJ46" s="758">
        <v>24.56</v>
      </c>
      <c r="AK46" s="758"/>
      <c r="AL46" s="1264"/>
      <c r="AM46" s="2609">
        <v>45292</v>
      </c>
      <c r="AN46" s="2114" t="s">
        <v>66</v>
      </c>
      <c r="AO46" s="2294">
        <v>45473</v>
      </c>
      <c r="AP46" s="2114" t="s">
        <v>66</v>
      </c>
      <c r="AQ46" s="758">
        <v>28.11</v>
      </c>
      <c r="AR46" s="758"/>
      <c r="AS46" s="1264"/>
      <c r="AT46" s="2609">
        <v>45474</v>
      </c>
      <c r="AU46" s="2114" t="s">
        <v>66</v>
      </c>
      <c r="AV46" s="2294">
        <v>45657</v>
      </c>
      <c r="AW46" s="2114" t="s">
        <v>66</v>
      </c>
      <c r="AX46" s="758">
        <v>28.11</v>
      </c>
      <c r="AY46" s="758"/>
      <c r="AZ46" s="1264"/>
      <c r="BA46" s="2609">
        <v>45658</v>
      </c>
      <c r="BB46" s="2114" t="s">
        <v>66</v>
      </c>
      <c r="BC46" s="2294">
        <v>45838</v>
      </c>
      <c r="BD46" s="2114" t="s">
        <v>66</v>
      </c>
      <c r="BE46" s="758">
        <v>35.04</v>
      </c>
      <c r="BF46" s="758"/>
      <c r="BG46" s="1264"/>
      <c r="BH46" s="2609">
        <v>45839</v>
      </c>
      <c r="BI46" s="2114" t="s">
        <v>66</v>
      </c>
      <c r="BJ46" s="2294">
        <v>46022</v>
      </c>
      <c r="BK46" s="2114" t="s">
        <v>66</v>
      </c>
      <c r="BL46" s="758">
        <v>26.74</v>
      </c>
      <c r="BM46" s="758"/>
      <c r="BN46" s="1264"/>
      <c r="BO46" s="2609">
        <v>46023</v>
      </c>
      <c r="BP46" s="2114" t="s">
        <v>66</v>
      </c>
      <c r="BQ46" s="2294">
        <v>46203</v>
      </c>
      <c r="BR46" s="2114" t="s">
        <v>66</v>
      </c>
      <c r="BS46" s="758">
        <v>28.52</v>
      </c>
      <c r="BT46" s="758"/>
      <c r="BU46" s="1264"/>
      <c r="BV46" s="2609">
        <v>46204</v>
      </c>
      <c r="BW46" s="2114" t="s">
        <v>66</v>
      </c>
      <c r="BX46" s="2294">
        <v>46387</v>
      </c>
      <c r="BY46" s="2114" t="s">
        <v>66</v>
      </c>
      <c r="BZ46" s="758">
        <v>28.52</v>
      </c>
      <c r="CA46" s="758"/>
      <c r="CB46" s="1264"/>
      <c r="CC46" s="2609">
        <v>46388</v>
      </c>
      <c r="CD46" s="2114" t="s">
        <v>66</v>
      </c>
      <c r="CE46" s="2294">
        <v>46568</v>
      </c>
      <c r="CF46" s="2114" t="s">
        <v>66</v>
      </c>
      <c r="CG46" s="758">
        <v>28.59</v>
      </c>
      <c r="CH46" s="758"/>
      <c r="CI46" s="1264"/>
      <c r="CJ46" s="2609">
        <v>46569</v>
      </c>
      <c r="CK46" s="2114" t="s">
        <v>66</v>
      </c>
      <c r="CL46" s="2294">
        <v>46752</v>
      </c>
      <c r="CM46" s="2114" t="s">
        <v>66</v>
      </c>
      <c r="CN46" s="1445"/>
      <c r="CO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46" s="518">
        <f>STRCHECKDATE(V47:CN47)</f>
      </c>
      <c r="CQ46" s="507"/>
      <c r="CR46" s="507" t="str">
        <f>IF(T46="","",T46)</f>
        <v>Тариф по водоснабжению без НДС</v>
      </c>
      <c r="CS46" s="507"/>
      <c r="CT46" s="507"/>
      <c r="CU46" s="1162">
        <v>23</v>
      </c>
    </row>
    <row customHeight="1" ht="0">
      <c r="A47" s="1370" t="s">
        <v>313</v>
      </c>
      <c r="B47" s="1370" t="s">
        <v>314</v>
      </c>
      <c r="C47" s="1370" t="s">
        <v>315</v>
      </c>
      <c r="D47" s="1370" t="s">
        <v>655</v>
      </c>
      <c r="E47" s="2266"/>
      <c r="F47" s="2266"/>
      <c r="G47" s="2266"/>
      <c r="H47" s="2266"/>
      <c r="I47" s="2293"/>
      <c r="J47" s="2293"/>
      <c r="K47" s="2263"/>
      <c r="L47" s="1371"/>
      <c r="P47" s="2264"/>
      <c r="Q47" s="2264"/>
      <c r="R47" s="364"/>
      <c r="S47" s="1366"/>
      <c r="T47" s="307"/>
      <c r="U47" s="307"/>
      <c r="V47" s="332"/>
      <c r="W47" s="332"/>
      <c r="X47" s="335" t="str">
        <f>Y46&amp;"-"&amp;AA46</f>
        <v>-</v>
      </c>
      <c r="Y47" s="2316"/>
      <c r="Z47" s="2114"/>
      <c r="AA47" s="2295"/>
      <c r="AB47" s="2114"/>
      <c r="AC47" s="332"/>
      <c r="AD47" s="332"/>
      <c r="AE47" s="335" t="str">
        <f>AF46&amp;"-"&amp;AH46</f>
        <v>44896-45291</v>
      </c>
      <c r="AF47" s="2273"/>
      <c r="AG47" s="2114"/>
      <c r="AH47" s="2295"/>
      <c r="AI47" s="2114"/>
      <c r="AJ47" s="332"/>
      <c r="AK47" s="332"/>
      <c r="AL47" s="335" t="str">
        <f>AM46&amp;"-"&amp;AO46</f>
        <v>45292-45473</v>
      </c>
      <c r="AM47" s="2316"/>
      <c r="AN47" s="2114"/>
      <c r="AO47" s="2295"/>
      <c r="AP47" s="2114"/>
      <c r="AQ47" s="332"/>
      <c r="AR47" s="332"/>
      <c r="AS47" s="335" t="str">
        <f>AT46&amp;"-"&amp;AV46</f>
        <v>45474-45657</v>
      </c>
      <c r="AT47" s="2316"/>
      <c r="AU47" s="2114"/>
      <c r="AV47" s="2295"/>
      <c r="AW47" s="2114"/>
      <c r="AX47" s="332"/>
      <c r="AY47" s="332"/>
      <c r="AZ47" s="335" t="str">
        <f>BA46&amp;"-"&amp;BC46</f>
        <v>45658-45838</v>
      </c>
      <c r="BA47" s="2316"/>
      <c r="BB47" s="2114"/>
      <c r="BC47" s="2295"/>
      <c r="BD47" s="2114"/>
      <c r="BE47" s="332"/>
      <c r="BF47" s="332"/>
      <c r="BG47" s="335" t="str">
        <f>BH46&amp;"-"&amp;BJ46</f>
        <v>45839-46022</v>
      </c>
      <c r="BH47" s="2316"/>
      <c r="BI47" s="2114"/>
      <c r="BJ47" s="2295"/>
      <c r="BK47" s="2114"/>
      <c r="BL47" s="332"/>
      <c r="BM47" s="332"/>
      <c r="BN47" s="335" t="str">
        <f>BO46&amp;"-"&amp;BQ46</f>
        <v>46023-46203</v>
      </c>
      <c r="BO47" s="2316"/>
      <c r="BP47" s="2114"/>
      <c r="BQ47" s="2295"/>
      <c r="BR47" s="2114"/>
      <c r="BS47" s="332"/>
      <c r="BT47" s="332"/>
      <c r="BU47" s="335" t="str">
        <f>BV46&amp;"-"&amp;BX46</f>
        <v>46204-46387</v>
      </c>
      <c r="BV47" s="2316"/>
      <c r="BW47" s="2114"/>
      <c r="BX47" s="2295"/>
      <c r="BY47" s="2114"/>
      <c r="BZ47" s="332"/>
      <c r="CA47" s="332"/>
      <c r="CB47" s="335" t="str">
        <f>CC46&amp;"-"&amp;CE46</f>
        <v>46388-46568</v>
      </c>
      <c r="CC47" s="2316"/>
      <c r="CD47" s="2114"/>
      <c r="CE47" s="2295"/>
      <c r="CF47" s="2114"/>
      <c r="CG47" s="332"/>
      <c r="CH47" s="332"/>
      <c r="CI47" s="335" t="str">
        <f>CJ46&amp;"-"&amp;CL46</f>
        <v>46569-46752</v>
      </c>
      <c r="CJ47" s="2316"/>
      <c r="CK47" s="2114"/>
      <c r="CL47" s="2295"/>
      <c r="CM47" s="2114"/>
      <c r="CN47" s="1446"/>
      <c r="CO47" s="2356"/>
      <c r="CQ47" s="507"/>
      <c r="CR47" s="507" t="str">
        <f>IF(T47="","",T47)</f>
        <v/>
      </c>
      <c r="CS47" s="507"/>
      <c r="CT47" s="507"/>
      <c r="CU47" s="1162">
        <v>0</v>
      </c>
    </row>
    <row customHeight="1" ht="21">
      <c r="A48" s="1370" t="s">
        <v>313</v>
      </c>
      <c r="B48" s="1370" t="s">
        <v>314</v>
      </c>
      <c r="C48" s="1370" t="s">
        <v>315</v>
      </c>
      <c r="D48" s="1370" t="s">
        <v>655</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9162"/>
      <c r="AK48" s="9163"/>
      <c r="AL48" s="9164"/>
      <c r="AM48" s="9165"/>
      <c r="AN48" s="9166"/>
      <c r="AO48" s="9167"/>
      <c r="AP48" s="9168"/>
      <c r="AQ48" s="9169"/>
      <c r="AR48" s="9170"/>
      <c r="AS48" s="9171"/>
      <c r="AT48" s="9172"/>
      <c r="AU48" s="9173"/>
      <c r="AV48" s="9174"/>
      <c r="AW48" s="9175"/>
      <c r="AX48" s="9176"/>
      <c r="AY48" s="9177"/>
      <c r="AZ48" s="9178"/>
      <c r="BA48" s="9179"/>
      <c r="BB48" s="9180"/>
      <c r="BC48" s="9181"/>
      <c r="BD48" s="9182"/>
      <c r="BE48" s="9183"/>
      <c r="BF48" s="9184"/>
      <c r="BG48" s="9185"/>
      <c r="BH48" s="9186"/>
      <c r="BI48" s="9187"/>
      <c r="BJ48" s="9188"/>
      <c r="BK48" s="9189"/>
      <c r="BL48" s="9190"/>
      <c r="BM48" s="9191"/>
      <c r="BN48" s="9192"/>
      <c r="BO48" s="9193"/>
      <c r="BP48" s="9194"/>
      <c r="BQ48" s="9195"/>
      <c r="BR48" s="9196"/>
      <c r="BS48" s="9197"/>
      <c r="BT48" s="9198"/>
      <c r="BU48" s="9199"/>
      <c r="BV48" s="9200"/>
      <c r="BW48" s="9201"/>
      <c r="BX48" s="9202"/>
      <c r="BY48" s="9203"/>
      <c r="BZ48" s="9204"/>
      <c r="CA48" s="9205"/>
      <c r="CB48" s="9206"/>
      <c r="CC48" s="9207"/>
      <c r="CD48" s="9208"/>
      <c r="CE48" s="9209"/>
      <c r="CF48" s="9210"/>
      <c r="CG48" s="9211"/>
      <c r="CH48" s="9212"/>
      <c r="CI48" s="9213"/>
      <c r="CJ48" s="9214"/>
      <c r="CK48" s="9215"/>
      <c r="CL48" s="9216"/>
      <c r="CM48" s="12694"/>
      <c r="CN48" s="374"/>
      <c r="CO48" s="1265" t="s">
        <v>647</v>
      </c>
      <c r="CQ48" s="507"/>
      <c r="CR48" s="507" t="str">
        <f>IF(T48="","",T48)</f>
        <v>Добавить значение признака дифференциации</v>
      </c>
      <c r="CS48" s="507"/>
      <c r="CT48" s="507"/>
      <c r="CU48" s="1162">
        <v>20</v>
      </c>
    </row>
    <row customHeight="1" ht="22.049999999999997">
      <c r="A49" s="1370" t="s">
        <v>313</v>
      </c>
      <c r="B49" s="1370" t="s">
        <v>314</v>
      </c>
      <c r="C49" s="1370" t="s">
        <v>315</v>
      </c>
      <c r="D49" s="1370" t="s">
        <v>655</v>
      </c>
      <c r="E49" s="2266"/>
      <c r="F49" s="2266"/>
      <c r="G49" s="2266"/>
      <c r="H49" s="2266"/>
      <c r="I49" s="2263"/>
      <c r="J49" s="1370"/>
      <c r="K49" s="1370"/>
      <c r="L49" s="1371"/>
      <c r="P49" s="2264"/>
      <c r="Q49" s="1361"/>
      <c r="R49" s="363"/>
      <c r="S49" s="1285"/>
      <c r="T49" s="372" t="s">
        <v>575</v>
      </c>
      <c r="U49" s="374"/>
      <c r="V49" s="374"/>
      <c r="W49" s="374"/>
      <c r="X49" s="374"/>
      <c r="Y49" s="374"/>
      <c r="Z49" s="374"/>
      <c r="AA49" s="374"/>
      <c r="AB49" s="373"/>
      <c r="AC49" s="374"/>
      <c r="AD49" s="374"/>
      <c r="AE49" s="374"/>
      <c r="AF49" s="374"/>
      <c r="AG49" s="374"/>
      <c r="AH49" s="374"/>
      <c r="AI49" s="373"/>
      <c r="AJ49" s="9218"/>
      <c r="AK49" s="9219"/>
      <c r="AL49" s="9220"/>
      <c r="AM49" s="9221"/>
      <c r="AN49" s="9222"/>
      <c r="AO49" s="9223"/>
      <c r="AP49" s="9224"/>
      <c r="AQ49" s="9225"/>
      <c r="AR49" s="9226"/>
      <c r="AS49" s="9227"/>
      <c r="AT49" s="9228"/>
      <c r="AU49" s="9229"/>
      <c r="AV49" s="9230"/>
      <c r="AW49" s="9231"/>
      <c r="AX49" s="9232"/>
      <c r="AY49" s="9233"/>
      <c r="AZ49" s="9234"/>
      <c r="BA49" s="9235"/>
      <c r="BB49" s="9236"/>
      <c r="BC49" s="9237"/>
      <c r="BD49" s="9238"/>
      <c r="BE49" s="9239"/>
      <c r="BF49" s="9240"/>
      <c r="BG49" s="9241"/>
      <c r="BH49" s="9242"/>
      <c r="BI49" s="9243"/>
      <c r="BJ49" s="9244"/>
      <c r="BK49" s="9245"/>
      <c r="BL49" s="9246"/>
      <c r="BM49" s="9247"/>
      <c r="BN49" s="9248"/>
      <c r="BO49" s="9249"/>
      <c r="BP49" s="9250"/>
      <c r="BQ49" s="9251"/>
      <c r="BR49" s="9252"/>
      <c r="BS49" s="9253"/>
      <c r="BT49" s="9254"/>
      <c r="BU49" s="9255"/>
      <c r="BV49" s="9256"/>
      <c r="BW49" s="9257"/>
      <c r="BX49" s="9258"/>
      <c r="BY49" s="9259"/>
      <c r="BZ49" s="9260"/>
      <c r="CA49" s="9261"/>
      <c r="CB49" s="9262"/>
      <c r="CC49" s="9263"/>
      <c r="CD49" s="9264"/>
      <c r="CE49" s="9265"/>
      <c r="CF49" s="9266"/>
      <c r="CG49" s="9267"/>
      <c r="CH49" s="9268"/>
      <c r="CI49" s="9269"/>
      <c r="CJ49" s="9270"/>
      <c r="CK49" s="9271"/>
      <c r="CL49" s="9272"/>
      <c r="CM49" s="12695"/>
      <c r="CN49" s="374"/>
      <c r="CO49" s="1447"/>
      <c r="CQ49" s="507"/>
      <c r="CR49" s="507" t="str">
        <f>IF(T49="","",T49)</f>
        <v>Добавить группу потребителей</v>
      </c>
      <c r="CS49" s="507"/>
      <c r="CT49" s="507"/>
      <c r="CU49" s="1162">
        <v>21</v>
      </c>
    </row>
    <row customHeight="1" ht="22.049999999999997">
      <c r="A50" s="1370" t="s">
        <v>313</v>
      </c>
      <c r="B50" s="1370" t="s">
        <v>314</v>
      </c>
      <c r="C50" s="1370" t="s">
        <v>315</v>
      </c>
      <c r="D50" s="1370" t="s">
        <v>655</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9274"/>
      <c r="AK50" s="9275"/>
      <c r="AL50" s="9276"/>
      <c r="AM50" s="9277"/>
      <c r="AN50" s="9278"/>
      <c r="AO50" s="9279"/>
      <c r="AP50" s="9280"/>
      <c r="AQ50" s="9281"/>
      <c r="AR50" s="9282"/>
      <c r="AS50" s="9283"/>
      <c r="AT50" s="9284"/>
      <c r="AU50" s="9285"/>
      <c r="AV50" s="9286"/>
      <c r="AW50" s="9287"/>
      <c r="AX50" s="9288"/>
      <c r="AY50" s="9289"/>
      <c r="AZ50" s="9290"/>
      <c r="BA50" s="9291"/>
      <c r="BB50" s="9292"/>
      <c r="BC50" s="9293"/>
      <c r="BD50" s="9294"/>
      <c r="BE50" s="9295"/>
      <c r="BF50" s="9296"/>
      <c r="BG50" s="9297"/>
      <c r="BH50" s="9298"/>
      <c r="BI50" s="9299"/>
      <c r="BJ50" s="9300"/>
      <c r="BK50" s="9301"/>
      <c r="BL50" s="9302"/>
      <c r="BM50" s="9303"/>
      <c r="BN50" s="9304"/>
      <c r="BO50" s="9305"/>
      <c r="BP50" s="9306"/>
      <c r="BQ50" s="9307"/>
      <c r="BR50" s="9308"/>
      <c r="BS50" s="9309"/>
      <c r="BT50" s="9310"/>
      <c r="BU50" s="9311"/>
      <c r="BV50" s="9312"/>
      <c r="BW50" s="9313"/>
      <c r="BX50" s="9314"/>
      <c r="BY50" s="9315"/>
      <c r="BZ50" s="9316"/>
      <c r="CA50" s="9317"/>
      <c r="CB50" s="9318"/>
      <c r="CC50" s="9319"/>
      <c r="CD50" s="9320"/>
      <c r="CE50" s="9321"/>
      <c r="CF50" s="9322"/>
      <c r="CG50" s="9323"/>
      <c r="CH50" s="9324"/>
      <c r="CI50" s="9325"/>
      <c r="CJ50" s="9326"/>
      <c r="CK50" s="9327"/>
      <c r="CL50" s="9328"/>
      <c r="CM50" s="12696"/>
      <c r="CN50" s="374"/>
      <c r="CO50" s="310"/>
      <c r="CQ50" s="507"/>
      <c r="CR50" s="507" t="str">
        <f>IF(T50="","",T50)</f>
        <v>Добавить наименование признака дифференциации</v>
      </c>
      <c r="CS50" s="507"/>
      <c r="CT50" s="507"/>
      <c r="CU50" s="1162">
        <v>21</v>
      </c>
    </row>
    <row s="1649" customFormat="1" customHeight="1" ht="0">
      <c r="A51" s="1350" t="s">
        <v>313</v>
      </c>
      <c r="B51" s="1350" t="s">
        <v>314</v>
      </c>
      <c r="C51" s="1321"/>
      <c r="D51" s="1321"/>
      <c r="E51" s="2266"/>
      <c r="F51" s="2265"/>
      <c r="G51" s="1321"/>
      <c r="H51" s="1321"/>
      <c r="I51" s="1321"/>
      <c r="J51" s="1321"/>
      <c r="K51" s="1321"/>
      <c r="L51" s="1433"/>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L51" s="1331"/>
      <c r="AM51" s="1331"/>
      <c r="AN51" s="1331"/>
      <c r="AO51" s="1331"/>
      <c r="AP51" s="1331"/>
      <c r="AQ51" s="1331"/>
      <c r="AR51" s="1331"/>
      <c r="AS51" s="1331"/>
      <c r="AT51" s="1331"/>
      <c r="AU51" s="1331"/>
      <c r="AV51" s="1331"/>
      <c r="AW51" s="1331"/>
      <c r="AX51" s="1331"/>
      <c r="AY51" s="1331"/>
      <c r="AZ51" s="1331"/>
      <c r="BA51" s="1331"/>
      <c r="BB51" s="1331"/>
      <c r="BC51" s="1331"/>
      <c r="BD51" s="1331"/>
      <c r="BE51" s="1331"/>
      <c r="BF51" s="1331"/>
      <c r="BG51" s="1331"/>
      <c r="BH51" s="1331"/>
      <c r="BI51" s="1331"/>
      <c r="BJ51" s="1331"/>
      <c r="BK51" s="1331"/>
      <c r="BL51" s="1331"/>
      <c r="BM51" s="1331"/>
      <c r="BN51" s="1331"/>
      <c r="BO51" s="1331"/>
      <c r="BP51" s="1331"/>
      <c r="BQ51" s="1331"/>
      <c r="BR51" s="1331"/>
      <c r="BS51" s="1331"/>
      <c r="BT51" s="1331"/>
      <c r="BU51" s="1331"/>
      <c r="BV51" s="1331"/>
      <c r="BW51" s="1331"/>
      <c r="BX51" s="1331"/>
      <c r="BY51" s="1331"/>
      <c r="BZ51" s="1331"/>
      <c r="CA51" s="1331"/>
      <c r="CB51" s="1331"/>
      <c r="CC51" s="1331"/>
      <c r="CD51" s="1331"/>
      <c r="CE51" s="1331"/>
      <c r="CF51" s="1331"/>
      <c r="CG51" s="1331"/>
      <c r="CH51" s="1331"/>
      <c r="CI51" s="1331"/>
      <c r="CJ51" s="1331"/>
      <c r="CK51" s="1331"/>
      <c r="CL51" s="1331"/>
      <c r="CM51" s="1331"/>
      <c r="CN51" s="1331"/>
      <c r="CO51" s="1331"/>
      <c r="CQ51" s="796"/>
      <c r="CR51" s="796" t="str">
        <f>IF(T51="","",T51)</f>
        <v>Добавить централизованную систему для дифференциации</v>
      </c>
      <c r="CS51" s="796"/>
      <c r="CT51" s="796"/>
      <c r="CU51" s="525">
        <v>0</v>
      </c>
    </row>
    <row s="1857" customFormat="1" customHeight="1" ht="23.25">
      <c r="A52" s="1370"/>
      <c r="B52" s="1370" t="s">
        <v>318</v>
      </c>
      <c r="C52" s="1370"/>
      <c r="D52" s="1370"/>
      <c r="E52" s="2266"/>
      <c r="F52" s="2265" t="s">
        <v>99</v>
      </c>
      <c r="G52" s="1370"/>
      <c r="H52" s="1370"/>
      <c r="I52" s="1370"/>
      <c r="J52" s="1370"/>
      <c r="K52" s="1370"/>
      <c r="L52" s="1376"/>
      <c r="M52" s="1372"/>
      <c r="N52" s="1372"/>
      <c r="O52" s="1372"/>
      <c r="P52" s="2132"/>
      <c r="Q52" s="359"/>
      <c r="R52" s="360"/>
      <c r="S52" s="2280" t="str">
        <f>INDEX(PT_DIFFERENTIATION_NUM_TER,MATCH(B52,PT_DIFFERENTIATION_TER_ID,0))</f>
        <v>1.2</v>
      </c>
      <c r="T52" s="1529" t="s">
        <v>560</v>
      </c>
      <c r="U52" s="307"/>
      <c r="V52" s="2249"/>
      <c r="W52" s="2250"/>
      <c r="X52" s="2250"/>
      <c r="Y52" s="2250"/>
      <c r="Z52" s="2250"/>
      <c r="AA52" s="2250"/>
      <c r="AB52" s="2251"/>
      <c r="AC52" s="2249" t="str">
        <f>INDEX(PT_DIFFERENTIATION_TER,MATCH(B52,PT_DIFFERENTIATION_TER_ID,0))</f>
        <v>Территория 2</v>
      </c>
      <c r="AD52" s="2250"/>
      <c r="AE52" s="2250"/>
      <c r="AF52" s="2250"/>
      <c r="AG52" s="2250"/>
      <c r="AH52" s="2250"/>
      <c r="AI52" s="2250"/>
      <c r="AJ52" s="2249"/>
      <c r="AK52" s="2250"/>
      <c r="AL52" s="2250"/>
      <c r="AM52" s="2250"/>
      <c r="AN52" s="2250"/>
      <c r="AO52" s="2250"/>
      <c r="AP52" s="2251"/>
      <c r="AQ52" s="2249"/>
      <c r="AR52" s="2250"/>
      <c r="AS52" s="2250"/>
      <c r="AT52" s="2250"/>
      <c r="AU52" s="2250"/>
      <c r="AV52" s="2250"/>
      <c r="AW52" s="2251"/>
      <c r="AX52" s="2249"/>
      <c r="AY52" s="2250"/>
      <c r="AZ52" s="2250"/>
      <c r="BA52" s="2250"/>
      <c r="BB52" s="2250"/>
      <c r="BC52" s="2250"/>
      <c r="BD52" s="2251"/>
      <c r="BE52" s="2249"/>
      <c r="BF52" s="2250"/>
      <c r="BG52" s="2250"/>
      <c r="BH52" s="2250"/>
      <c r="BI52" s="2250"/>
      <c r="BJ52" s="2250"/>
      <c r="BK52" s="2251"/>
      <c r="BL52" s="2249"/>
      <c r="BM52" s="2250"/>
      <c r="BN52" s="2250"/>
      <c r="BO52" s="2250"/>
      <c r="BP52" s="2250"/>
      <c r="BQ52" s="2250"/>
      <c r="BR52" s="2251"/>
      <c r="BS52" s="2249"/>
      <c r="BT52" s="2250"/>
      <c r="BU52" s="2250"/>
      <c r="BV52" s="2250"/>
      <c r="BW52" s="2250"/>
      <c r="BX52" s="2250"/>
      <c r="BY52" s="2251"/>
      <c r="BZ52" s="2249"/>
      <c r="CA52" s="2250"/>
      <c r="CB52" s="2250"/>
      <c r="CC52" s="2250"/>
      <c r="CD52" s="2250"/>
      <c r="CE52" s="2250"/>
      <c r="CF52" s="2251"/>
      <c r="CG52" s="2249"/>
      <c r="CH52" s="2250"/>
      <c r="CI52" s="2250"/>
      <c r="CJ52" s="2250"/>
      <c r="CK52" s="2250"/>
      <c r="CL52" s="2250"/>
      <c r="CM52" s="4492"/>
      <c r="CN52" s="2251"/>
      <c r="CO52" s="1265" t="s">
        <v>561</v>
      </c>
      <c r="CP52" s="1649"/>
      <c r="CQ52" s="1631"/>
      <c r="CR52" s="1631" t="str">
        <f>IF(T52="","",T52)</f>
        <v>Территория действия тарифа</v>
      </c>
      <c r="CS52" s="1631"/>
      <c r="CT52" s="1631"/>
      <c r="CU52" s="1642">
        <v>0</v>
      </c>
    </row>
    <row s="1857" customFormat="1" customHeight="1" ht="23.25">
      <c r="A53" s="1370"/>
      <c r="B53" s="1370"/>
      <c r="C53" s="1370" t="s">
        <v>319</v>
      </c>
      <c r="D53" s="1370"/>
      <c r="E53" s="2266"/>
      <c r="F53" s="2266">
        <v>1</v>
      </c>
      <c r="G53" s="2265">
        <v>1</v>
      </c>
      <c r="H53" s="1370"/>
      <c r="I53" s="1370"/>
      <c r="J53" s="1370"/>
      <c r="K53" s="1370"/>
      <c r="L53" s="1376"/>
      <c r="M53" s="1372"/>
      <c r="N53" s="1372"/>
      <c r="O53" s="1372"/>
      <c r="P53" s="361"/>
      <c r="Q53" s="359"/>
      <c r="R53" s="360"/>
      <c r="S53" s="2280" t="str">
        <f>INDEX(PT_DIFFERENTIATION_NUM_CS,MATCH(C53,PT_DIFFERENTIATION_CS_ID,0))</f>
        <v>1.2.1</v>
      </c>
      <c r="T53" s="316" t="s">
        <v>641</v>
      </c>
      <c r="U53" s="307"/>
      <c r="V53" s="2249"/>
      <c r="W53" s="2250"/>
      <c r="X53" s="2250"/>
      <c r="Y53" s="2250"/>
      <c r="Z53" s="2250"/>
      <c r="AA53" s="2250"/>
      <c r="AB53" s="2251"/>
      <c r="AC53" s="2249" t="str">
        <f>INDEX(PT_DIFFERENTIATION_CS,MATCH(C53,PT_DIFFERENTIATION_CS_ID,0))</f>
        <v>Алексеевский район</v>
      </c>
      <c r="AD53" s="2250"/>
      <c r="AE53" s="2250"/>
      <c r="AF53" s="2250"/>
      <c r="AG53" s="2250"/>
      <c r="AH53" s="2250"/>
      <c r="AI53" s="2250"/>
      <c r="AJ53" s="2249"/>
      <c r="AK53" s="2250"/>
      <c r="AL53" s="2250"/>
      <c r="AM53" s="2250"/>
      <c r="AN53" s="2250"/>
      <c r="AO53" s="2250"/>
      <c r="AP53" s="2251"/>
      <c r="AQ53" s="2249"/>
      <c r="AR53" s="2250"/>
      <c r="AS53" s="2250"/>
      <c r="AT53" s="2250"/>
      <c r="AU53" s="2250"/>
      <c r="AV53" s="2250"/>
      <c r="AW53" s="2251"/>
      <c r="AX53" s="2249"/>
      <c r="AY53" s="2250"/>
      <c r="AZ53" s="2250"/>
      <c r="BA53" s="2250"/>
      <c r="BB53" s="2250"/>
      <c r="BC53" s="2250"/>
      <c r="BD53" s="2251"/>
      <c r="BE53" s="2249"/>
      <c r="BF53" s="2250"/>
      <c r="BG53" s="2250"/>
      <c r="BH53" s="2250"/>
      <c r="BI53" s="2250"/>
      <c r="BJ53" s="2250"/>
      <c r="BK53" s="2251"/>
      <c r="BL53" s="2249"/>
      <c r="BM53" s="2250"/>
      <c r="BN53" s="2250"/>
      <c r="BO53" s="2250"/>
      <c r="BP53" s="2250"/>
      <c r="BQ53" s="2250"/>
      <c r="BR53" s="2251"/>
      <c r="BS53" s="2249"/>
      <c r="BT53" s="2250"/>
      <c r="BU53" s="2250"/>
      <c r="BV53" s="2250"/>
      <c r="BW53" s="2250"/>
      <c r="BX53" s="2250"/>
      <c r="BY53" s="2251"/>
      <c r="BZ53" s="2249"/>
      <c r="CA53" s="2250"/>
      <c r="CB53" s="2250"/>
      <c r="CC53" s="2250"/>
      <c r="CD53" s="2250"/>
      <c r="CE53" s="2250"/>
      <c r="CF53" s="2251"/>
      <c r="CG53" s="2249"/>
      <c r="CH53" s="2250"/>
      <c r="CI53" s="2250"/>
      <c r="CJ53" s="2250"/>
      <c r="CK53" s="2250"/>
      <c r="CL53" s="2250"/>
      <c r="CM53" s="4492"/>
      <c r="CN53" s="2251"/>
      <c r="CO53" s="1265" t="s">
        <v>642</v>
      </c>
      <c r="CP53" s="1649"/>
      <c r="CQ53" s="1631"/>
      <c r="CR53" s="1631" t="str">
        <f>IF(T53="","",T53)</f>
        <v>Наименование централизованной системы холодного водоснабжения</v>
      </c>
      <c r="CS53" s="1631"/>
      <c r="CT53" s="1631"/>
      <c r="CU53" s="1642">
        <v>0</v>
      </c>
    </row>
    <row s="1857" customFormat="1" customHeight="1" ht="23.25">
      <c r="A54" s="1370"/>
      <c r="B54" s="1370"/>
      <c r="C54" s="1370"/>
      <c r="D54" s="1370"/>
      <c r="E54" s="2266"/>
      <c r="F54" s="2266">
        <v>1</v>
      </c>
      <c r="G54" s="2266"/>
      <c r="H54" s="2266"/>
      <c r="I54" s="2263" t="str">
        <f>S53&amp;".1"</f>
        <v>1.2.1.1</v>
      </c>
      <c r="J54" s="1370"/>
      <c r="K54" s="1370"/>
      <c r="L54" s="1376"/>
      <c r="M54" s="1783"/>
      <c r="N54" s="1783"/>
      <c r="O54" s="1783"/>
      <c r="P54" s="2381">
        <v>1</v>
      </c>
      <c r="Q54" s="2381"/>
      <c r="R54" s="363"/>
      <c r="S54" s="2280" t="str">
        <f>$I54</f>
        <v>1.2.1.1</v>
      </c>
      <c r="T54" s="292" t="s">
        <v>643</v>
      </c>
      <c r="U54" s="307"/>
      <c r="V54" s="2357"/>
      <c r="W54" s="2358"/>
      <c r="X54" s="2358"/>
      <c r="Y54" s="2358"/>
      <c r="Z54" s="2358"/>
      <c r="AA54" s="2358"/>
      <c r="AB54" s="2359"/>
      <c r="AC54" s="2360" t="s">
        <v>317</v>
      </c>
      <c r="AD54" s="2361"/>
      <c r="AE54" s="2361"/>
      <c r="AF54" s="2361"/>
      <c r="AG54" s="2361"/>
      <c r="AH54" s="2361"/>
      <c r="AI54" s="2361"/>
      <c r="AJ54" s="2357"/>
      <c r="AK54" s="2358"/>
      <c r="AL54" s="2358"/>
      <c r="AM54" s="2358"/>
      <c r="AN54" s="2358"/>
      <c r="AO54" s="2358"/>
      <c r="AP54" s="2359"/>
      <c r="AQ54" s="2357"/>
      <c r="AR54" s="2358"/>
      <c r="AS54" s="2358"/>
      <c r="AT54" s="2358"/>
      <c r="AU54" s="2358"/>
      <c r="AV54" s="2358"/>
      <c r="AW54" s="2359"/>
      <c r="AX54" s="2357"/>
      <c r="AY54" s="2358"/>
      <c r="AZ54" s="2358"/>
      <c r="BA54" s="2358"/>
      <c r="BB54" s="2358"/>
      <c r="BC54" s="2358"/>
      <c r="BD54" s="2359"/>
      <c r="BE54" s="2357"/>
      <c r="BF54" s="2358"/>
      <c r="BG54" s="2358"/>
      <c r="BH54" s="2358"/>
      <c r="BI54" s="2358"/>
      <c r="BJ54" s="2358"/>
      <c r="BK54" s="2359"/>
      <c r="BL54" s="2357"/>
      <c r="BM54" s="2358"/>
      <c r="BN54" s="2358"/>
      <c r="BO54" s="2358"/>
      <c r="BP54" s="2358"/>
      <c r="BQ54" s="2358"/>
      <c r="BR54" s="2359"/>
      <c r="BS54" s="2357"/>
      <c r="BT54" s="2358"/>
      <c r="BU54" s="2358"/>
      <c r="BV54" s="2358"/>
      <c r="BW54" s="2358"/>
      <c r="BX54" s="2358"/>
      <c r="BY54" s="2359"/>
      <c r="BZ54" s="2357"/>
      <c r="CA54" s="2358"/>
      <c r="CB54" s="2358"/>
      <c r="CC54" s="2358"/>
      <c r="CD54" s="2358"/>
      <c r="CE54" s="2358"/>
      <c r="CF54" s="2359"/>
      <c r="CG54" s="2357"/>
      <c r="CH54" s="2358"/>
      <c r="CI54" s="2358"/>
      <c r="CJ54" s="2358"/>
      <c r="CK54" s="2358"/>
      <c r="CL54" s="2358"/>
      <c r="CM54" s="4495"/>
      <c r="CN54" s="2362"/>
      <c r="CO54" s="1265" t="s">
        <v>644</v>
      </c>
      <c r="CP54" s="1649"/>
      <c r="CQ54" s="1631"/>
      <c r="CR54" s="1631" t="str">
        <f>IF(T54="","",T54)</f>
        <v>Наименование признака дифференциации</v>
      </c>
      <c r="CS54" s="1631"/>
      <c r="CT54" s="1631"/>
      <c r="CU54" s="1642">
        <v>0</v>
      </c>
    </row>
    <row s="1857" customFormat="1" customHeight="1" ht="23.25">
      <c r="A55" s="1370"/>
      <c r="B55" s="1370"/>
      <c r="C55" s="1370"/>
      <c r="D55" s="1370"/>
      <c r="E55" s="2266"/>
      <c r="F55" s="2266">
        <v>1</v>
      </c>
      <c r="G55" s="2266"/>
      <c r="H55" s="2266"/>
      <c r="I55" s="2293"/>
      <c r="J55" s="2263" t="str">
        <f>I54&amp;".1"</f>
        <v>1.2.1.1.1</v>
      </c>
      <c r="K55" s="1370"/>
      <c r="L55" s="1376" t="s">
        <v>569</v>
      </c>
      <c r="M55" s="1783"/>
      <c r="N55" s="1783"/>
      <c r="O55" s="1783"/>
      <c r="P55" s="2381"/>
      <c r="Q55" s="2381">
        <v>1</v>
      </c>
      <c r="R55" s="364"/>
      <c r="S55" s="2280" t="str">
        <f>$J55</f>
        <v>1.2.1.1.1</v>
      </c>
      <c r="T55" s="293" t="s">
        <v>570</v>
      </c>
      <c r="U55" s="307"/>
      <c r="V55" s="2252"/>
      <c r="W55" s="2253"/>
      <c r="X55" s="2253"/>
      <c r="Y55" s="2253"/>
      <c r="Z55" s="2253"/>
      <c r="AA55" s="2253"/>
      <c r="AB55" s="2254"/>
      <c r="AC55" s="2252" t="s">
        <v>656</v>
      </c>
      <c r="AD55" s="2253"/>
      <c r="AE55" s="2253"/>
      <c r="AF55" s="2253"/>
      <c r="AG55" s="2253"/>
      <c r="AH55" s="2253"/>
      <c r="AI55" s="2253"/>
      <c r="AJ55" s="2252"/>
      <c r="AK55" s="2253"/>
      <c r="AL55" s="2253"/>
      <c r="AM55" s="2253"/>
      <c r="AN55" s="2253"/>
      <c r="AO55" s="2253"/>
      <c r="AP55" s="2254"/>
      <c r="AQ55" s="2252"/>
      <c r="AR55" s="2253"/>
      <c r="AS55" s="2253"/>
      <c r="AT55" s="2253"/>
      <c r="AU55" s="2253"/>
      <c r="AV55" s="2253"/>
      <c r="AW55" s="2254"/>
      <c r="AX55" s="2252"/>
      <c r="AY55" s="2253"/>
      <c r="AZ55" s="2253"/>
      <c r="BA55" s="2253"/>
      <c r="BB55" s="2253"/>
      <c r="BC55" s="2253"/>
      <c r="BD55" s="2254"/>
      <c r="BE55" s="2252"/>
      <c r="BF55" s="2253"/>
      <c r="BG55" s="2253"/>
      <c r="BH55" s="2253"/>
      <c r="BI55" s="2253"/>
      <c r="BJ55" s="2253"/>
      <c r="BK55" s="2254"/>
      <c r="BL55" s="2252"/>
      <c r="BM55" s="2253"/>
      <c r="BN55" s="2253"/>
      <c r="BO55" s="2253"/>
      <c r="BP55" s="2253"/>
      <c r="BQ55" s="2253"/>
      <c r="BR55" s="2254"/>
      <c r="BS55" s="2252"/>
      <c r="BT55" s="2253"/>
      <c r="BU55" s="2253"/>
      <c r="BV55" s="2253"/>
      <c r="BW55" s="2253"/>
      <c r="BX55" s="2253"/>
      <c r="BY55" s="2254"/>
      <c r="BZ55" s="2252"/>
      <c r="CA55" s="2253"/>
      <c r="CB55" s="2253"/>
      <c r="CC55" s="2253"/>
      <c r="CD55" s="2253"/>
      <c r="CE55" s="2253"/>
      <c r="CF55" s="2254"/>
      <c r="CG55" s="2252"/>
      <c r="CH55" s="2253"/>
      <c r="CI55" s="2253"/>
      <c r="CJ55" s="2253"/>
      <c r="CK55" s="2253"/>
      <c r="CL55" s="2253"/>
      <c r="CM55" s="4498"/>
      <c r="CN55" s="2254"/>
      <c r="CO55" s="1314" t="s">
        <v>645</v>
      </c>
      <c r="CP55" s="1649"/>
      <c r="CQ55" s="1631"/>
      <c r="CR55" s="1631" t="str">
        <f>IF(T55="","",T55)</f>
        <v>Группа потребителей</v>
      </c>
      <c r="CS55" s="1631"/>
      <c r="CT55" s="1631"/>
      <c r="CU55" s="1642">
        <v>0</v>
      </c>
    </row>
    <row s="1857" customFormat="1" customHeight="1" ht="23.25">
      <c r="A56" s="1370"/>
      <c r="B56" s="1370"/>
      <c r="C56" s="1370"/>
      <c r="D56" s="1370"/>
      <c r="E56" s="2266"/>
      <c r="F56" s="2266">
        <v>1</v>
      </c>
      <c r="G56" s="2266"/>
      <c r="H56" s="2266"/>
      <c r="I56" s="2293"/>
      <c r="J56" s="2293"/>
      <c r="K56" s="2263" t="str">
        <f>J55&amp;".1"</f>
        <v>1.2.1.1.1.1</v>
      </c>
      <c r="L56" s="1376"/>
      <c r="M56" s="1783"/>
      <c r="N56" s="1783"/>
      <c r="O56" s="1783"/>
      <c r="P56" s="2381"/>
      <c r="Q56" s="2381"/>
      <c r="R56" s="364">
        <v>1</v>
      </c>
      <c r="S56" s="2280" t="str">
        <f>$K56</f>
        <v>1.2.1.1.1.1</v>
      </c>
      <c r="T56" s="1444" t="s">
        <v>657</v>
      </c>
      <c r="U56" s="307"/>
      <c r="V56" s="758"/>
      <c r="W56" s="758"/>
      <c r="X56" s="1264"/>
      <c r="Y56" s="2609"/>
      <c r="Z56" s="2114" t="s">
        <v>66</v>
      </c>
      <c r="AA56" s="2609"/>
      <c r="AB56" s="2114" t="s">
        <v>66</v>
      </c>
      <c r="AC56" s="758">
        <v>30.8</v>
      </c>
      <c r="AD56" s="758"/>
      <c r="AE56" s="1264"/>
      <c r="AF56" s="2609">
        <v>44896</v>
      </c>
      <c r="AG56" s="2114" t="s">
        <v>66</v>
      </c>
      <c r="AH56" s="2294">
        <v>45291</v>
      </c>
      <c r="AI56" s="2114" t="s">
        <v>66</v>
      </c>
      <c r="AJ56" s="758">
        <v>30.8</v>
      </c>
      <c r="AK56" s="758"/>
      <c r="AL56" s="1264"/>
      <c r="AM56" s="2609">
        <v>45292</v>
      </c>
      <c r="AN56" s="2114" t="s">
        <v>66</v>
      </c>
      <c r="AO56" s="2609">
        <v>45473</v>
      </c>
      <c r="AP56" s="2114" t="s">
        <v>66</v>
      </c>
      <c r="AQ56" s="758">
        <v>35.11</v>
      </c>
      <c r="AR56" s="758"/>
      <c r="AS56" s="1264"/>
      <c r="AT56" s="2609">
        <v>45474</v>
      </c>
      <c r="AU56" s="2114" t="s">
        <v>66</v>
      </c>
      <c r="AV56" s="2609">
        <v>45657</v>
      </c>
      <c r="AW56" s="2114" t="s">
        <v>66</v>
      </c>
      <c r="AX56" s="758">
        <v>35.11</v>
      </c>
      <c r="AY56" s="758"/>
      <c r="AZ56" s="1264"/>
      <c r="BA56" s="2609">
        <v>45658</v>
      </c>
      <c r="BB56" s="2114" t="s">
        <v>66</v>
      </c>
      <c r="BC56" s="2609">
        <v>45838</v>
      </c>
      <c r="BD56" s="2114" t="s">
        <v>66</v>
      </c>
      <c r="BE56" s="758">
        <v>47.27</v>
      </c>
      <c r="BF56" s="758"/>
      <c r="BG56" s="1264"/>
      <c r="BH56" s="2609">
        <v>45839</v>
      </c>
      <c r="BI56" s="2114" t="s">
        <v>66</v>
      </c>
      <c r="BJ56" s="2609">
        <v>46022</v>
      </c>
      <c r="BK56" s="2114" t="s">
        <v>66</v>
      </c>
      <c r="BL56" s="758">
        <v>33.29</v>
      </c>
      <c r="BM56" s="758"/>
      <c r="BN56" s="1264"/>
      <c r="BO56" s="2609">
        <v>46023</v>
      </c>
      <c r="BP56" s="2114" t="s">
        <v>66</v>
      </c>
      <c r="BQ56" s="2609">
        <v>46203</v>
      </c>
      <c r="BR56" s="2114" t="s">
        <v>66</v>
      </c>
      <c r="BS56" s="758">
        <v>35.57</v>
      </c>
      <c r="BT56" s="758"/>
      <c r="BU56" s="1264"/>
      <c r="BV56" s="2609">
        <v>46204</v>
      </c>
      <c r="BW56" s="2114" t="s">
        <v>66</v>
      </c>
      <c r="BX56" s="2609">
        <v>46387</v>
      </c>
      <c r="BY56" s="2114" t="s">
        <v>66</v>
      </c>
      <c r="BZ56" s="758">
        <v>35.57</v>
      </c>
      <c r="CA56" s="758"/>
      <c r="CB56" s="1264"/>
      <c r="CC56" s="2609">
        <v>46388</v>
      </c>
      <c r="CD56" s="2114" t="s">
        <v>66</v>
      </c>
      <c r="CE56" s="2609">
        <v>46568</v>
      </c>
      <c r="CF56" s="2114" t="s">
        <v>66</v>
      </c>
      <c r="CG56" s="758">
        <v>35.67</v>
      </c>
      <c r="CH56" s="758"/>
      <c r="CI56" s="1264"/>
      <c r="CJ56" s="2609">
        <v>46569</v>
      </c>
      <c r="CK56" s="2114" t="s">
        <v>66</v>
      </c>
      <c r="CL56" s="2609">
        <v>46752</v>
      </c>
      <c r="CM56" s="2114" t="s">
        <v>66</v>
      </c>
      <c r="CN56" s="1445"/>
      <c r="CO5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56" s="1649">
        <f>STRCHECKDATE(V57:CN57)</f>
      </c>
      <c r="CQ56" s="1631"/>
      <c r="CR56" s="1631" t="str">
        <f>IF(T56="","",T56)</f>
        <v>Тариф по водоснабжению без НДС</v>
      </c>
      <c r="CS56" s="1631"/>
      <c r="CT56" s="1631"/>
      <c r="CU56" s="1642">
        <v>0</v>
      </c>
    </row>
    <row s="1857" customFormat="1" customHeight="1" ht="14.25">
      <c r="A57" s="1370"/>
      <c r="B57" s="1370"/>
      <c r="C57" s="1370"/>
      <c r="D57" s="1370"/>
      <c r="E57" s="2266"/>
      <c r="F57" s="2266">
        <v>1</v>
      </c>
      <c r="G57" s="2266"/>
      <c r="H57" s="2266"/>
      <c r="I57" s="2293"/>
      <c r="J57" s="2293"/>
      <c r="K57" s="2263"/>
      <c r="L57" s="1376"/>
      <c r="M57" s="1783"/>
      <c r="N57" s="1783"/>
      <c r="O57" s="1783"/>
      <c r="P57" s="2381"/>
      <c r="Q57" s="2381"/>
      <c r="R57" s="364"/>
      <c r="S57" s="2520"/>
      <c r="T57" s="307"/>
      <c r="U57" s="307"/>
      <c r="V57" s="332"/>
      <c r="W57" s="332"/>
      <c r="X57" s="335" t="str">
        <f>Y56&amp;"-"&amp;AA56</f>
        <v>-</v>
      </c>
      <c r="Y57" s="2316"/>
      <c r="Z57" s="2114"/>
      <c r="AA57" s="2316"/>
      <c r="AB57" s="2114"/>
      <c r="AC57" s="332"/>
      <c r="AD57" s="332"/>
      <c r="AE57" s="335" t="str">
        <f>AF56&amp;"-"&amp;AH56</f>
        <v>44896-45291</v>
      </c>
      <c r="AF57" s="2316"/>
      <c r="AG57" s="2114"/>
      <c r="AH57" s="2295"/>
      <c r="AI57" s="2114"/>
      <c r="AJ57" s="332"/>
      <c r="AK57" s="332"/>
      <c r="AL57" s="335" t="str">
        <f>AM56&amp;"-"&amp;AO56</f>
        <v>45292-45473</v>
      </c>
      <c r="AM57" s="2316"/>
      <c r="AN57" s="2114"/>
      <c r="AO57" s="2316"/>
      <c r="AP57" s="2114"/>
      <c r="AQ57" s="332"/>
      <c r="AR57" s="332"/>
      <c r="AS57" s="335" t="str">
        <f>AT56&amp;"-"&amp;AV56</f>
        <v>45474-45657</v>
      </c>
      <c r="AT57" s="2316"/>
      <c r="AU57" s="2114"/>
      <c r="AV57" s="2316"/>
      <c r="AW57" s="2114"/>
      <c r="AX57" s="332"/>
      <c r="AY57" s="332"/>
      <c r="AZ57" s="335" t="str">
        <f>BA56&amp;"-"&amp;BC56</f>
        <v>45658-45838</v>
      </c>
      <c r="BA57" s="2316"/>
      <c r="BB57" s="2114"/>
      <c r="BC57" s="2316"/>
      <c r="BD57" s="2114"/>
      <c r="BE57" s="332"/>
      <c r="BF57" s="332"/>
      <c r="BG57" s="335" t="str">
        <f>BH56&amp;"-"&amp;BJ56</f>
        <v>45839-46022</v>
      </c>
      <c r="BH57" s="2316"/>
      <c r="BI57" s="2114"/>
      <c r="BJ57" s="2316"/>
      <c r="BK57" s="2114"/>
      <c r="BL57" s="332"/>
      <c r="BM57" s="332"/>
      <c r="BN57" s="335" t="str">
        <f>BO56&amp;"-"&amp;BQ56</f>
        <v>46023-46203</v>
      </c>
      <c r="BO57" s="2316"/>
      <c r="BP57" s="2114"/>
      <c r="BQ57" s="2316"/>
      <c r="BR57" s="2114"/>
      <c r="BS57" s="332"/>
      <c r="BT57" s="332"/>
      <c r="BU57" s="335" t="str">
        <f>BV56&amp;"-"&amp;BX56</f>
        <v>46204-46387</v>
      </c>
      <c r="BV57" s="2316"/>
      <c r="BW57" s="2114"/>
      <c r="BX57" s="2316"/>
      <c r="BY57" s="2114"/>
      <c r="BZ57" s="332"/>
      <c r="CA57" s="332"/>
      <c r="CB57" s="335" t="str">
        <f>CC56&amp;"-"&amp;CE56</f>
        <v>46388-46568</v>
      </c>
      <c r="CC57" s="2316"/>
      <c r="CD57" s="2114"/>
      <c r="CE57" s="2316"/>
      <c r="CF57" s="2114"/>
      <c r="CG57" s="332"/>
      <c r="CH57" s="332"/>
      <c r="CI57" s="335" t="str">
        <f>CJ56&amp;"-"&amp;CL56</f>
        <v>46569-46752</v>
      </c>
      <c r="CJ57" s="2316"/>
      <c r="CK57" s="2114"/>
      <c r="CL57" s="2316"/>
      <c r="CM57" s="2114"/>
      <c r="CN57" s="1446"/>
      <c r="CO57" s="2356"/>
      <c r="CP57" s="1649"/>
      <c r="CQ57" s="1631"/>
      <c r="CR57" s="1631" t="str">
        <f>IF(T57="","",T57)</f>
        <v/>
      </c>
      <c r="CS57" s="1631"/>
      <c r="CT57" s="1631"/>
      <c r="CU57" s="1642">
        <v>0</v>
      </c>
    </row>
    <row s="1857" customFormat="1" customHeight="1" ht="21">
      <c r="A58" s="1370"/>
      <c r="B58" s="1370"/>
      <c r="C58" s="1370"/>
      <c r="D58" s="1370"/>
      <c r="E58" s="2266"/>
      <c r="F58" s="2266">
        <v>1</v>
      </c>
      <c r="G58" s="2266"/>
      <c r="H58" s="2266"/>
      <c r="I58" s="2293"/>
      <c r="J58" s="2263"/>
      <c r="K58" s="1370"/>
      <c r="L58" s="1376"/>
      <c r="M58" s="1783"/>
      <c r="N58" s="1783"/>
      <c r="O58" s="1783"/>
      <c r="P58" s="2381"/>
      <c r="Q58" s="2381"/>
      <c r="R58" s="363"/>
      <c r="S58" s="2793"/>
      <c r="T58" s="2794" t="s">
        <v>646</v>
      </c>
      <c r="U58" s="2795"/>
      <c r="V58" s="2796"/>
      <c r="W58" s="2797"/>
      <c r="X58" s="2798"/>
      <c r="Y58" s="2799"/>
      <c r="Z58" s="2800"/>
      <c r="AA58" s="2801"/>
      <c r="AB58" s="2802"/>
      <c r="AC58" s="2803"/>
      <c r="AD58" s="2804"/>
      <c r="AE58" s="2805"/>
      <c r="AF58" s="2806"/>
      <c r="AG58" s="2807"/>
      <c r="AH58" s="2808"/>
      <c r="AI58" s="2809"/>
      <c r="AJ58" s="9330"/>
      <c r="AK58" s="9331"/>
      <c r="AL58" s="9332"/>
      <c r="AM58" s="9333"/>
      <c r="AN58" s="9334"/>
      <c r="AO58" s="9335"/>
      <c r="AP58" s="9336"/>
      <c r="AQ58" s="9337"/>
      <c r="AR58" s="9338"/>
      <c r="AS58" s="9339"/>
      <c r="AT58" s="9340"/>
      <c r="AU58" s="9341"/>
      <c r="AV58" s="9342"/>
      <c r="AW58" s="9343"/>
      <c r="AX58" s="9344"/>
      <c r="AY58" s="9345"/>
      <c r="AZ58" s="9346"/>
      <c r="BA58" s="9347"/>
      <c r="BB58" s="9348"/>
      <c r="BC58" s="9349"/>
      <c r="BD58" s="9350"/>
      <c r="BE58" s="9351"/>
      <c r="BF58" s="9352"/>
      <c r="BG58" s="9353"/>
      <c r="BH58" s="9354"/>
      <c r="BI58" s="9355"/>
      <c r="BJ58" s="9356"/>
      <c r="BK58" s="9357"/>
      <c r="BL58" s="9358"/>
      <c r="BM58" s="9359"/>
      <c r="BN58" s="9360"/>
      <c r="BO58" s="9361"/>
      <c r="BP58" s="9362"/>
      <c r="BQ58" s="9363"/>
      <c r="BR58" s="9364"/>
      <c r="BS58" s="9365"/>
      <c r="BT58" s="9366"/>
      <c r="BU58" s="9367"/>
      <c r="BV58" s="9368"/>
      <c r="BW58" s="9369"/>
      <c r="BX58" s="9370"/>
      <c r="BY58" s="9371"/>
      <c r="BZ58" s="9372"/>
      <c r="CA58" s="9373"/>
      <c r="CB58" s="9374"/>
      <c r="CC58" s="9375"/>
      <c r="CD58" s="9376"/>
      <c r="CE58" s="9377"/>
      <c r="CF58" s="9378"/>
      <c r="CG58" s="9379"/>
      <c r="CH58" s="9380"/>
      <c r="CI58" s="9381"/>
      <c r="CJ58" s="9382"/>
      <c r="CK58" s="9383"/>
      <c r="CL58" s="9384"/>
      <c r="CM58" s="12697"/>
      <c r="CN58" s="2817"/>
      <c r="CO58" s="1265" t="s">
        <v>647</v>
      </c>
      <c r="CP58" s="1649"/>
      <c r="CQ58" s="1631"/>
      <c r="CR58" s="1631" t="str">
        <f>IF(T58="","",T58)</f>
        <v>Добавить значение признака дифференциации</v>
      </c>
      <c r="CS58" s="1631"/>
      <c r="CT58" s="1631"/>
      <c r="CU58" s="1642">
        <v>0</v>
      </c>
    </row>
    <row s="1857" customFormat="1" customHeight="1" ht="21">
      <c r="A59" s="1370"/>
      <c r="B59" s="1370"/>
      <c r="C59" s="1370"/>
      <c r="D59" s="1370"/>
      <c r="E59" s="2266"/>
      <c r="F59" s="2266">
        <v>1</v>
      </c>
      <c r="G59" s="2266"/>
      <c r="H59" s="2266"/>
      <c r="I59" s="2263"/>
      <c r="J59" s="1370"/>
      <c r="K59" s="1370"/>
      <c r="L59" s="1376"/>
      <c r="M59" s="1783"/>
      <c r="N59" s="1783"/>
      <c r="O59" s="1783"/>
      <c r="P59" s="2381"/>
      <c r="Q59" s="2381"/>
      <c r="R59" s="363"/>
      <c r="S59" s="2818"/>
      <c r="T59" s="2819" t="s">
        <v>575</v>
      </c>
      <c r="U59" s="2820"/>
      <c r="V59" s="2821"/>
      <c r="W59" s="2822"/>
      <c r="X59" s="2823"/>
      <c r="Y59" s="2824"/>
      <c r="Z59" s="2825"/>
      <c r="AA59" s="2826"/>
      <c r="AB59" s="2827"/>
      <c r="AC59" s="2828"/>
      <c r="AD59" s="2829"/>
      <c r="AE59" s="2830"/>
      <c r="AF59" s="2831"/>
      <c r="AG59" s="2832"/>
      <c r="AH59" s="2833"/>
      <c r="AI59" s="2834"/>
      <c r="AJ59" s="9386"/>
      <c r="AK59" s="9387"/>
      <c r="AL59" s="9388"/>
      <c r="AM59" s="9389"/>
      <c r="AN59" s="9390"/>
      <c r="AO59" s="9391"/>
      <c r="AP59" s="9392"/>
      <c r="AQ59" s="9393"/>
      <c r="AR59" s="9394"/>
      <c r="AS59" s="9395"/>
      <c r="AT59" s="9396"/>
      <c r="AU59" s="9397"/>
      <c r="AV59" s="9398"/>
      <c r="AW59" s="9399"/>
      <c r="AX59" s="9400"/>
      <c r="AY59" s="9401"/>
      <c r="AZ59" s="9402"/>
      <c r="BA59" s="9403"/>
      <c r="BB59" s="9404"/>
      <c r="BC59" s="9405"/>
      <c r="BD59" s="9406"/>
      <c r="BE59" s="9407"/>
      <c r="BF59" s="9408"/>
      <c r="BG59" s="9409"/>
      <c r="BH59" s="9410"/>
      <c r="BI59" s="9411"/>
      <c r="BJ59" s="9412"/>
      <c r="BK59" s="9413"/>
      <c r="BL59" s="9414"/>
      <c r="BM59" s="9415"/>
      <c r="BN59" s="9416"/>
      <c r="BO59" s="9417"/>
      <c r="BP59" s="9418"/>
      <c r="BQ59" s="9419"/>
      <c r="BR59" s="9420"/>
      <c r="BS59" s="9421"/>
      <c r="BT59" s="9422"/>
      <c r="BU59" s="9423"/>
      <c r="BV59" s="9424"/>
      <c r="BW59" s="9425"/>
      <c r="BX59" s="9426"/>
      <c r="BY59" s="9427"/>
      <c r="BZ59" s="9428"/>
      <c r="CA59" s="9429"/>
      <c r="CB59" s="9430"/>
      <c r="CC59" s="9431"/>
      <c r="CD59" s="9432"/>
      <c r="CE59" s="9433"/>
      <c r="CF59" s="9434"/>
      <c r="CG59" s="9435"/>
      <c r="CH59" s="9436"/>
      <c r="CI59" s="9437"/>
      <c r="CJ59" s="9438"/>
      <c r="CK59" s="9439"/>
      <c r="CL59" s="9440"/>
      <c r="CM59" s="12698"/>
      <c r="CN59" s="2842"/>
      <c r="CO59" s="2843"/>
      <c r="CP59" s="1649"/>
      <c r="CQ59" s="1631"/>
      <c r="CR59" s="1631" t="str">
        <f>IF(T59="","",T59)</f>
        <v>Добавить группу потребителей</v>
      </c>
      <c r="CS59" s="1631"/>
      <c r="CT59" s="1631"/>
      <c r="CU59" s="1642">
        <v>0</v>
      </c>
    </row>
    <row s="1857" customFormat="1" customHeight="1" ht="14.25">
      <c r="A60" s="1370"/>
      <c r="B60" s="1370"/>
      <c r="C60" s="1370"/>
      <c r="D60" s="1370"/>
      <c r="E60" s="2266"/>
      <c r="F60" s="2266">
        <v>1</v>
      </c>
      <c r="G60" s="2266"/>
      <c r="H60" s="2265"/>
      <c r="I60" s="1370"/>
      <c r="J60" s="1370"/>
      <c r="K60" s="1370"/>
      <c r="L60" s="1376"/>
      <c r="M60" s="1372"/>
      <c r="N60" s="1372"/>
      <c r="O60" s="1373"/>
      <c r="P60" s="1830"/>
      <c r="Q60" s="382"/>
      <c r="R60" s="362"/>
      <c r="S60" s="2844"/>
      <c r="T60" s="2845" t="s">
        <v>648</v>
      </c>
      <c r="U60" s="2846"/>
      <c r="V60" s="2847"/>
      <c r="W60" s="2848"/>
      <c r="X60" s="2849"/>
      <c r="Y60" s="2850"/>
      <c r="Z60" s="2851"/>
      <c r="AA60" s="2852"/>
      <c r="AB60" s="2853"/>
      <c r="AC60" s="2854"/>
      <c r="AD60" s="2855"/>
      <c r="AE60" s="2856"/>
      <c r="AF60" s="2857"/>
      <c r="AG60" s="2858"/>
      <c r="AH60" s="2859"/>
      <c r="AI60" s="2860"/>
      <c r="AJ60" s="9442"/>
      <c r="AK60" s="9443"/>
      <c r="AL60" s="9444"/>
      <c r="AM60" s="9445"/>
      <c r="AN60" s="9446"/>
      <c r="AO60" s="9447"/>
      <c r="AP60" s="9448"/>
      <c r="AQ60" s="9449"/>
      <c r="AR60" s="9450"/>
      <c r="AS60" s="9451"/>
      <c r="AT60" s="9452"/>
      <c r="AU60" s="9453"/>
      <c r="AV60" s="9454"/>
      <c r="AW60" s="9455"/>
      <c r="AX60" s="9456"/>
      <c r="AY60" s="9457"/>
      <c r="AZ60" s="9458"/>
      <c r="BA60" s="9459"/>
      <c r="BB60" s="9460"/>
      <c r="BC60" s="9461"/>
      <c r="BD60" s="9462"/>
      <c r="BE60" s="9463"/>
      <c r="BF60" s="9464"/>
      <c r="BG60" s="9465"/>
      <c r="BH60" s="9466"/>
      <c r="BI60" s="9467"/>
      <c r="BJ60" s="9468"/>
      <c r="BK60" s="9469"/>
      <c r="BL60" s="9470"/>
      <c r="BM60" s="9471"/>
      <c r="BN60" s="9472"/>
      <c r="BO60" s="9473"/>
      <c r="BP60" s="9474"/>
      <c r="BQ60" s="9475"/>
      <c r="BR60" s="9476"/>
      <c r="BS60" s="9477"/>
      <c r="BT60" s="9478"/>
      <c r="BU60" s="9479"/>
      <c r="BV60" s="9480"/>
      <c r="BW60" s="9481"/>
      <c r="BX60" s="9482"/>
      <c r="BY60" s="9483"/>
      <c r="BZ60" s="9484"/>
      <c r="CA60" s="9485"/>
      <c r="CB60" s="9486"/>
      <c r="CC60" s="9487"/>
      <c r="CD60" s="9488"/>
      <c r="CE60" s="9489"/>
      <c r="CF60" s="9490"/>
      <c r="CG60" s="9491"/>
      <c r="CH60" s="9492"/>
      <c r="CI60" s="9493"/>
      <c r="CJ60" s="9494"/>
      <c r="CK60" s="9495"/>
      <c r="CL60" s="9496"/>
      <c r="CM60" s="12699"/>
      <c r="CN60" s="2868"/>
      <c r="CO60" s="2869"/>
      <c r="CP60" s="1649"/>
      <c r="CQ60" s="1631"/>
      <c r="CR60" s="1631" t="str">
        <f>IF(T60="","",T60)</f>
        <v>Добавить наименование признака дифференциации</v>
      </c>
      <c r="CS60" s="1631"/>
      <c r="CT60" s="1631"/>
      <c r="CU60" s="1642">
        <v>0</v>
      </c>
    </row>
    <row s="629" customFormat="1" customHeight="1" ht="14.25">
      <c r="A61" s="1350"/>
      <c r="B61" s="1350"/>
      <c r="C61" s="1350"/>
      <c r="D61" s="1350"/>
      <c r="E61" s="2266"/>
      <c r="F61" s="2265">
        <v>1</v>
      </c>
      <c r="G61" s="1350"/>
      <c r="H61" s="1350"/>
      <c r="I61" s="1350"/>
      <c r="J61" s="1350"/>
      <c r="K61" s="1350"/>
      <c r="L61" s="1552"/>
      <c r="M61" s="1328"/>
      <c r="N61" s="1328"/>
      <c r="O61" s="1649"/>
      <c r="P61" s="1323"/>
      <c r="Q61" s="1351"/>
      <c r="R61" s="1323"/>
      <c r="S61" s="1329"/>
      <c r="T61" s="1332" t="s">
        <v>316</v>
      </c>
      <c r="U61" s="1331"/>
      <c r="V61" s="1331"/>
      <c r="W61" s="1331"/>
      <c r="X61" s="1331"/>
      <c r="Y61" s="1331"/>
      <c r="Z61" s="1331"/>
      <c r="AA61" s="1331"/>
      <c r="AB61" s="1331"/>
      <c r="AC61" s="1331"/>
      <c r="AD61" s="1331"/>
      <c r="AE61" s="1331"/>
      <c r="AF61" s="1331"/>
      <c r="AG61" s="1331"/>
      <c r="AH61" s="1331"/>
      <c r="AI61" s="1331"/>
      <c r="AJ61" s="1331"/>
      <c r="AK61" s="1331"/>
      <c r="AL61" s="1331"/>
      <c r="AM61" s="1331"/>
      <c r="AN61" s="1331"/>
      <c r="AO61" s="1331"/>
      <c r="AP61" s="1331"/>
      <c r="AQ61" s="1331"/>
      <c r="AR61" s="1331"/>
      <c r="AS61" s="1331"/>
      <c r="AT61" s="1331"/>
      <c r="AU61" s="1331"/>
      <c r="AV61" s="1331"/>
      <c r="AW61" s="1331"/>
      <c r="AX61" s="1331"/>
      <c r="AY61" s="1331"/>
      <c r="AZ61" s="1331"/>
      <c r="BA61" s="1331"/>
      <c r="BB61" s="1331"/>
      <c r="BC61" s="1331"/>
      <c r="BD61" s="1331"/>
      <c r="BE61" s="1331"/>
      <c r="BF61" s="1331"/>
      <c r="BG61" s="1331"/>
      <c r="BH61" s="1331"/>
      <c r="BI61" s="1331"/>
      <c r="BJ61" s="1331"/>
      <c r="BK61" s="1331"/>
      <c r="BL61" s="1331"/>
      <c r="BM61" s="1331"/>
      <c r="BN61" s="1331"/>
      <c r="BO61" s="1331"/>
      <c r="BP61" s="1331"/>
      <c r="BQ61" s="1331"/>
      <c r="BR61" s="1331"/>
      <c r="BS61" s="1331"/>
      <c r="BT61" s="1331"/>
      <c r="BU61" s="1331"/>
      <c r="BV61" s="1331"/>
      <c r="BW61" s="1331"/>
      <c r="BX61" s="1331"/>
      <c r="BY61" s="1331"/>
      <c r="BZ61" s="1331"/>
      <c r="CA61" s="1331"/>
      <c r="CB61" s="1331"/>
      <c r="CC61" s="1331"/>
      <c r="CD61" s="1331"/>
      <c r="CE61" s="1331"/>
      <c r="CF61" s="1331"/>
      <c r="CG61" s="1331"/>
      <c r="CH61" s="1331"/>
      <c r="CI61" s="1331"/>
      <c r="CJ61" s="1331"/>
      <c r="CK61" s="1331"/>
      <c r="CL61" s="1331"/>
      <c r="CM61" s="1331"/>
      <c r="CN61" s="1331"/>
      <c r="CO61" s="1331"/>
      <c r="CP61" s="1649"/>
      <c r="CQ61" s="1631"/>
      <c r="CR61" s="1631" t="str">
        <f>IF(T61="","",T61)</f>
        <v>Добавить централизованную систему для дифференциации</v>
      </c>
      <c r="CS61" s="1631"/>
      <c r="CT61" s="1631"/>
      <c r="CU61" s="1649">
        <v>0</v>
      </c>
    </row>
    <row s="1857" customFormat="1" customHeight="1" ht="23.25">
      <c r="A62" s="1370"/>
      <c r="B62" s="1370" t="s">
        <v>321</v>
      </c>
      <c r="C62" s="1370"/>
      <c r="D62" s="1370"/>
      <c r="E62" s="2266"/>
      <c r="F62" s="2265" t="s">
        <v>90</v>
      </c>
      <c r="G62" s="1370"/>
      <c r="H62" s="1370"/>
      <c r="I62" s="1370"/>
      <c r="J62" s="1370"/>
      <c r="K62" s="1370"/>
      <c r="L62" s="1376"/>
      <c r="M62" s="1372"/>
      <c r="N62" s="1372"/>
      <c r="O62" s="1372"/>
      <c r="P62" s="2132"/>
      <c r="Q62" s="359"/>
      <c r="R62" s="360"/>
      <c r="S62" s="2280" t="str">
        <f>INDEX(PT_DIFFERENTIATION_NUM_TER,MATCH(B62,PT_DIFFERENTIATION_TER_ID,0))</f>
        <v>1.3</v>
      </c>
      <c r="T62" s="1529" t="s">
        <v>560</v>
      </c>
      <c r="U62" s="307"/>
      <c r="V62" s="2249"/>
      <c r="W62" s="2250"/>
      <c r="X62" s="2250"/>
      <c r="Y62" s="2250"/>
      <c r="Z62" s="2250"/>
      <c r="AA62" s="2250"/>
      <c r="AB62" s="2251"/>
      <c r="AC62" s="2249" t="str">
        <f>INDEX(PT_DIFFERENTIATION_TER,MATCH(B62,PT_DIFFERENTIATION_TER_ID,0))</f>
        <v>Территория 3</v>
      </c>
      <c r="AD62" s="2250"/>
      <c r="AE62" s="2250"/>
      <c r="AF62" s="2250"/>
      <c r="AG62" s="2250"/>
      <c r="AH62" s="2250"/>
      <c r="AI62" s="2250"/>
      <c r="AJ62" s="2249"/>
      <c r="AK62" s="2250"/>
      <c r="AL62" s="2250"/>
      <c r="AM62" s="2250"/>
      <c r="AN62" s="2250"/>
      <c r="AO62" s="2250"/>
      <c r="AP62" s="2251"/>
      <c r="AQ62" s="2249"/>
      <c r="AR62" s="2250"/>
      <c r="AS62" s="2250"/>
      <c r="AT62" s="2250"/>
      <c r="AU62" s="2250"/>
      <c r="AV62" s="2250"/>
      <c r="AW62" s="2251"/>
      <c r="AX62" s="2249"/>
      <c r="AY62" s="2250"/>
      <c r="AZ62" s="2250"/>
      <c r="BA62" s="2250"/>
      <c r="BB62" s="2250"/>
      <c r="BC62" s="2250"/>
      <c r="BD62" s="2251"/>
      <c r="BE62" s="2249"/>
      <c r="BF62" s="2250"/>
      <c r="BG62" s="2250"/>
      <c r="BH62" s="2250"/>
      <c r="BI62" s="2250"/>
      <c r="BJ62" s="2250"/>
      <c r="BK62" s="2251"/>
      <c r="BL62" s="2249"/>
      <c r="BM62" s="2250"/>
      <c r="BN62" s="2250"/>
      <c r="BO62" s="2250"/>
      <c r="BP62" s="2250"/>
      <c r="BQ62" s="2250"/>
      <c r="BR62" s="2251"/>
      <c r="BS62" s="2249"/>
      <c r="BT62" s="2250"/>
      <c r="BU62" s="2250"/>
      <c r="BV62" s="2250"/>
      <c r="BW62" s="2250"/>
      <c r="BX62" s="2250"/>
      <c r="BY62" s="2251"/>
      <c r="BZ62" s="2249"/>
      <c r="CA62" s="2250"/>
      <c r="CB62" s="2250"/>
      <c r="CC62" s="2250"/>
      <c r="CD62" s="2250"/>
      <c r="CE62" s="2250"/>
      <c r="CF62" s="2251"/>
      <c r="CG62" s="2249"/>
      <c r="CH62" s="2250"/>
      <c r="CI62" s="2250"/>
      <c r="CJ62" s="2250"/>
      <c r="CK62" s="2250"/>
      <c r="CL62" s="2250"/>
      <c r="CM62" s="4492"/>
      <c r="CN62" s="2251"/>
      <c r="CO62" s="1265" t="s">
        <v>561</v>
      </c>
      <c r="CP62" s="1649"/>
      <c r="CQ62" s="1631"/>
      <c r="CR62" s="1631" t="str">
        <f>IF(T62="","",T62)</f>
        <v>Территория действия тарифа</v>
      </c>
      <c r="CS62" s="1631"/>
      <c r="CT62" s="1631"/>
      <c r="CU62" s="1642">
        <v>0</v>
      </c>
    </row>
    <row s="1857" customFormat="1" customHeight="1" ht="23.25">
      <c r="A63" s="1370"/>
      <c r="B63" s="1370"/>
      <c r="C63" s="1370" t="s">
        <v>322</v>
      </c>
      <c r="D63" s="1370"/>
      <c r="E63" s="2266"/>
      <c r="F63" s="2266" t="s">
        <v>99</v>
      </c>
      <c r="G63" s="2265">
        <v>1</v>
      </c>
      <c r="H63" s="1370"/>
      <c r="I63" s="1370"/>
      <c r="J63" s="1370"/>
      <c r="K63" s="1370"/>
      <c r="L63" s="1376"/>
      <c r="M63" s="1372"/>
      <c r="N63" s="1372"/>
      <c r="O63" s="1372"/>
      <c r="P63" s="361"/>
      <c r="Q63" s="359"/>
      <c r="R63" s="360"/>
      <c r="S63" s="2280" t="str">
        <f>INDEX(PT_DIFFERENTIATION_NUM_CS,MATCH(C63,PT_DIFFERENTIATION_CS_ID,0))</f>
        <v>1.3.1</v>
      </c>
      <c r="T63" s="316" t="s">
        <v>641</v>
      </c>
      <c r="U63" s="307"/>
      <c r="V63" s="2249"/>
      <c r="W63" s="2250"/>
      <c r="X63" s="2250"/>
      <c r="Y63" s="2250"/>
      <c r="Z63" s="2250"/>
      <c r="AA63" s="2250"/>
      <c r="AB63" s="2251"/>
      <c r="AC63" s="2249" t="str">
        <f>INDEX(PT_DIFFERENTIATION_CS,MATCH(C63,PT_DIFFERENTIATION_CS_ID,0))</f>
        <v>Борисовский район</v>
      </c>
      <c r="AD63" s="2250"/>
      <c r="AE63" s="2250"/>
      <c r="AF63" s="2250"/>
      <c r="AG63" s="2250"/>
      <c r="AH63" s="2250"/>
      <c r="AI63" s="2250"/>
      <c r="AJ63" s="2249"/>
      <c r="AK63" s="2250"/>
      <c r="AL63" s="2250"/>
      <c r="AM63" s="2250"/>
      <c r="AN63" s="2250"/>
      <c r="AO63" s="2250"/>
      <c r="AP63" s="2251"/>
      <c r="AQ63" s="2249"/>
      <c r="AR63" s="2250"/>
      <c r="AS63" s="2250"/>
      <c r="AT63" s="2250"/>
      <c r="AU63" s="2250"/>
      <c r="AV63" s="2250"/>
      <c r="AW63" s="2251"/>
      <c r="AX63" s="2249"/>
      <c r="AY63" s="2250"/>
      <c r="AZ63" s="2250"/>
      <c r="BA63" s="2250"/>
      <c r="BB63" s="2250"/>
      <c r="BC63" s="2250"/>
      <c r="BD63" s="2251"/>
      <c r="BE63" s="2249"/>
      <c r="BF63" s="2250"/>
      <c r="BG63" s="2250"/>
      <c r="BH63" s="2250"/>
      <c r="BI63" s="2250"/>
      <c r="BJ63" s="2250"/>
      <c r="BK63" s="2251"/>
      <c r="BL63" s="2249"/>
      <c r="BM63" s="2250"/>
      <c r="BN63" s="2250"/>
      <c r="BO63" s="2250"/>
      <c r="BP63" s="2250"/>
      <c r="BQ63" s="2250"/>
      <c r="BR63" s="2251"/>
      <c r="BS63" s="2249"/>
      <c r="BT63" s="2250"/>
      <c r="BU63" s="2250"/>
      <c r="BV63" s="2250"/>
      <c r="BW63" s="2250"/>
      <c r="BX63" s="2250"/>
      <c r="BY63" s="2251"/>
      <c r="BZ63" s="2249"/>
      <c r="CA63" s="2250"/>
      <c r="CB63" s="2250"/>
      <c r="CC63" s="2250"/>
      <c r="CD63" s="2250"/>
      <c r="CE63" s="2250"/>
      <c r="CF63" s="2251"/>
      <c r="CG63" s="2249"/>
      <c r="CH63" s="2250"/>
      <c r="CI63" s="2250"/>
      <c r="CJ63" s="2250"/>
      <c r="CK63" s="2250"/>
      <c r="CL63" s="2250"/>
      <c r="CM63" s="4492"/>
      <c r="CN63" s="2251"/>
      <c r="CO63" s="1265" t="s">
        <v>642</v>
      </c>
      <c r="CP63" s="1649"/>
      <c r="CQ63" s="1631"/>
      <c r="CR63" s="1631" t="str">
        <f>IF(T63="","",T63)</f>
        <v>Наименование централизованной системы холодного водоснабжения</v>
      </c>
      <c r="CS63" s="1631"/>
      <c r="CT63" s="1631"/>
      <c r="CU63" s="1642">
        <v>0</v>
      </c>
    </row>
    <row s="1857" customFormat="1" customHeight="1" ht="23.25">
      <c r="A64" s="1370"/>
      <c r="B64" s="1370"/>
      <c r="C64" s="1370"/>
      <c r="D64" s="1370"/>
      <c r="E64" s="2266"/>
      <c r="F64" s="2266" t="s">
        <v>99</v>
      </c>
      <c r="G64" s="2266"/>
      <c r="H64" s="2266"/>
      <c r="I64" s="2263" t="str">
        <f>S63&amp;".1"</f>
        <v>1.3.1.1</v>
      </c>
      <c r="J64" s="1370"/>
      <c r="K64" s="1370"/>
      <c r="L64" s="1376"/>
      <c r="M64" s="1783"/>
      <c r="N64" s="1783"/>
      <c r="O64" s="1783"/>
      <c r="P64" s="2381">
        <v>1</v>
      </c>
      <c r="Q64" s="2381"/>
      <c r="R64" s="363"/>
      <c r="S64" s="2280" t="str">
        <f>$I64</f>
        <v>1.3.1.1</v>
      </c>
      <c r="T64" s="292" t="s">
        <v>643</v>
      </c>
      <c r="U64" s="307"/>
      <c r="V64" s="2357"/>
      <c r="W64" s="2358"/>
      <c r="X64" s="2358"/>
      <c r="Y64" s="2358"/>
      <c r="Z64" s="2358"/>
      <c r="AA64" s="2358"/>
      <c r="AB64" s="2359"/>
      <c r="AC64" s="2360" t="s">
        <v>113</v>
      </c>
      <c r="AD64" s="2361"/>
      <c r="AE64" s="2361"/>
      <c r="AF64" s="2361"/>
      <c r="AG64" s="2361"/>
      <c r="AH64" s="2361"/>
      <c r="AI64" s="2361"/>
      <c r="AJ64" s="2357"/>
      <c r="AK64" s="2358"/>
      <c r="AL64" s="2358"/>
      <c r="AM64" s="2358"/>
      <c r="AN64" s="2358"/>
      <c r="AO64" s="2358"/>
      <c r="AP64" s="2359"/>
      <c r="AQ64" s="2357"/>
      <c r="AR64" s="2358"/>
      <c r="AS64" s="2358"/>
      <c r="AT64" s="2358"/>
      <c r="AU64" s="2358"/>
      <c r="AV64" s="2358"/>
      <c r="AW64" s="2359"/>
      <c r="AX64" s="2357"/>
      <c r="AY64" s="2358"/>
      <c r="AZ64" s="2358"/>
      <c r="BA64" s="2358"/>
      <c r="BB64" s="2358"/>
      <c r="BC64" s="2358"/>
      <c r="BD64" s="2359"/>
      <c r="BE64" s="2357"/>
      <c r="BF64" s="2358"/>
      <c r="BG64" s="2358"/>
      <c r="BH64" s="2358"/>
      <c r="BI64" s="2358"/>
      <c r="BJ64" s="2358"/>
      <c r="BK64" s="2359"/>
      <c r="BL64" s="2357"/>
      <c r="BM64" s="2358"/>
      <c r="BN64" s="2358"/>
      <c r="BO64" s="2358"/>
      <c r="BP64" s="2358"/>
      <c r="BQ64" s="2358"/>
      <c r="BR64" s="2359"/>
      <c r="BS64" s="2357"/>
      <c r="BT64" s="2358"/>
      <c r="BU64" s="2358"/>
      <c r="BV64" s="2358"/>
      <c r="BW64" s="2358"/>
      <c r="BX64" s="2358"/>
      <c r="BY64" s="2359"/>
      <c r="BZ64" s="2357"/>
      <c r="CA64" s="2358"/>
      <c r="CB64" s="2358"/>
      <c r="CC64" s="2358"/>
      <c r="CD64" s="2358"/>
      <c r="CE64" s="2358"/>
      <c r="CF64" s="2359"/>
      <c r="CG64" s="2357"/>
      <c r="CH64" s="2358"/>
      <c r="CI64" s="2358"/>
      <c r="CJ64" s="2358"/>
      <c r="CK64" s="2358"/>
      <c r="CL64" s="2358"/>
      <c r="CM64" s="4495"/>
      <c r="CN64" s="2362"/>
      <c r="CO64" s="1265" t="s">
        <v>644</v>
      </c>
      <c r="CP64" s="1649"/>
      <c r="CQ64" s="1631"/>
      <c r="CR64" s="1631" t="str">
        <f>IF(T64="","",T64)</f>
        <v>Наименование признака дифференциации</v>
      </c>
      <c r="CS64" s="1631"/>
      <c r="CT64" s="1631"/>
      <c r="CU64" s="1642">
        <v>0</v>
      </c>
    </row>
    <row s="1857" customFormat="1" customHeight="1" ht="23.25">
      <c r="A65" s="1370"/>
      <c r="B65" s="1370"/>
      <c r="C65" s="1370"/>
      <c r="D65" s="1370"/>
      <c r="E65" s="2266"/>
      <c r="F65" s="2266" t="s">
        <v>99</v>
      </c>
      <c r="G65" s="2266"/>
      <c r="H65" s="2266"/>
      <c r="I65" s="2293"/>
      <c r="J65" s="2263" t="str">
        <f>I64&amp;".1"</f>
        <v>1.3.1.1.1</v>
      </c>
      <c r="K65" s="1370"/>
      <c r="L65" s="1376" t="s">
        <v>569</v>
      </c>
      <c r="M65" s="1783"/>
      <c r="N65" s="1783"/>
      <c r="O65" s="1783"/>
      <c r="P65" s="2381"/>
      <c r="Q65" s="2381">
        <v>1</v>
      </c>
      <c r="R65" s="364"/>
      <c r="S65" s="2280" t="str">
        <f>$J65</f>
        <v>1.3.1.1.1</v>
      </c>
      <c r="T65" s="293" t="s">
        <v>570</v>
      </c>
      <c r="U65" s="307"/>
      <c r="V65" s="2252"/>
      <c r="W65" s="2253"/>
      <c r="X65" s="2253"/>
      <c r="Y65" s="2253"/>
      <c r="Z65" s="2253"/>
      <c r="AA65" s="2253"/>
      <c r="AB65" s="2254"/>
      <c r="AC65" s="2252" t="s">
        <v>656</v>
      </c>
      <c r="AD65" s="2253"/>
      <c r="AE65" s="2253"/>
      <c r="AF65" s="2253"/>
      <c r="AG65" s="2253"/>
      <c r="AH65" s="2253"/>
      <c r="AI65" s="2253"/>
      <c r="AJ65" s="2252"/>
      <c r="AK65" s="2253"/>
      <c r="AL65" s="2253"/>
      <c r="AM65" s="2253"/>
      <c r="AN65" s="2253"/>
      <c r="AO65" s="2253"/>
      <c r="AP65" s="2254"/>
      <c r="AQ65" s="2252"/>
      <c r="AR65" s="2253"/>
      <c r="AS65" s="2253"/>
      <c r="AT65" s="2253"/>
      <c r="AU65" s="2253"/>
      <c r="AV65" s="2253"/>
      <c r="AW65" s="2254"/>
      <c r="AX65" s="2252"/>
      <c r="AY65" s="2253"/>
      <c r="AZ65" s="2253"/>
      <c r="BA65" s="2253"/>
      <c r="BB65" s="2253"/>
      <c r="BC65" s="2253"/>
      <c r="BD65" s="2254"/>
      <c r="BE65" s="2252"/>
      <c r="BF65" s="2253"/>
      <c r="BG65" s="2253"/>
      <c r="BH65" s="2253"/>
      <c r="BI65" s="2253"/>
      <c r="BJ65" s="2253"/>
      <c r="BK65" s="2254"/>
      <c r="BL65" s="2252"/>
      <c r="BM65" s="2253"/>
      <c r="BN65" s="2253"/>
      <c r="BO65" s="2253"/>
      <c r="BP65" s="2253"/>
      <c r="BQ65" s="2253"/>
      <c r="BR65" s="2254"/>
      <c r="BS65" s="2252"/>
      <c r="BT65" s="2253"/>
      <c r="BU65" s="2253"/>
      <c r="BV65" s="2253"/>
      <c r="BW65" s="2253"/>
      <c r="BX65" s="2253"/>
      <c r="BY65" s="2254"/>
      <c r="BZ65" s="2252"/>
      <c r="CA65" s="2253"/>
      <c r="CB65" s="2253"/>
      <c r="CC65" s="2253"/>
      <c r="CD65" s="2253"/>
      <c r="CE65" s="2253"/>
      <c r="CF65" s="2254"/>
      <c r="CG65" s="2252"/>
      <c r="CH65" s="2253"/>
      <c r="CI65" s="2253"/>
      <c r="CJ65" s="2253"/>
      <c r="CK65" s="2253"/>
      <c r="CL65" s="2253"/>
      <c r="CM65" s="4498"/>
      <c r="CN65" s="2254"/>
      <c r="CO65" s="1314" t="s">
        <v>645</v>
      </c>
      <c r="CP65" s="1649"/>
      <c r="CQ65" s="1631"/>
      <c r="CR65" s="1631" t="str">
        <f>IF(T65="","",T65)</f>
        <v>Группа потребителей</v>
      </c>
      <c r="CS65" s="1631"/>
      <c r="CT65" s="1631"/>
      <c r="CU65" s="1642">
        <v>0</v>
      </c>
    </row>
    <row s="1857" customFormat="1" customHeight="1" ht="23.25">
      <c r="A66" s="1370"/>
      <c r="B66" s="1370"/>
      <c r="C66" s="1370"/>
      <c r="D66" s="1370"/>
      <c r="E66" s="2266"/>
      <c r="F66" s="2266" t="s">
        <v>99</v>
      </c>
      <c r="G66" s="2266"/>
      <c r="H66" s="2266"/>
      <c r="I66" s="2293"/>
      <c r="J66" s="2293"/>
      <c r="K66" s="2263" t="str">
        <f>J65&amp;".1"</f>
        <v>1.3.1.1.1.1</v>
      </c>
      <c r="L66" s="1376"/>
      <c r="M66" s="1783"/>
      <c r="N66" s="1783"/>
      <c r="O66" s="1783"/>
      <c r="P66" s="2381"/>
      <c r="Q66" s="2381"/>
      <c r="R66" s="364">
        <v>1</v>
      </c>
      <c r="S66" s="2280" t="str">
        <f>$K66</f>
        <v>1.3.1.1.1.1</v>
      </c>
      <c r="T66" s="1444" t="s">
        <v>657</v>
      </c>
      <c r="U66" s="307"/>
      <c r="V66" s="758"/>
      <c r="W66" s="758"/>
      <c r="X66" s="1264"/>
      <c r="Y66" s="2609"/>
      <c r="Z66" s="2114" t="s">
        <v>66</v>
      </c>
      <c r="AA66" s="2609"/>
      <c r="AB66" s="2114" t="s">
        <v>66</v>
      </c>
      <c r="AC66" s="758">
        <v>24.57</v>
      </c>
      <c r="AD66" s="758"/>
      <c r="AE66" s="1264"/>
      <c r="AF66" s="2609">
        <v>44896</v>
      </c>
      <c r="AG66" s="2114" t="s">
        <v>66</v>
      </c>
      <c r="AH66" s="2294">
        <v>45291</v>
      </c>
      <c r="AI66" s="2114" t="s">
        <v>66</v>
      </c>
      <c r="AJ66" s="758">
        <v>24.57</v>
      </c>
      <c r="AK66" s="758"/>
      <c r="AL66" s="1264"/>
      <c r="AM66" s="2609">
        <v>45292</v>
      </c>
      <c r="AN66" s="2114" t="s">
        <v>66</v>
      </c>
      <c r="AO66" s="2609">
        <v>45473</v>
      </c>
      <c r="AP66" s="2114" t="s">
        <v>66</v>
      </c>
      <c r="AQ66" s="758">
        <v>28.05</v>
      </c>
      <c r="AR66" s="758"/>
      <c r="AS66" s="1264"/>
      <c r="AT66" s="2609">
        <v>45474</v>
      </c>
      <c r="AU66" s="2114" t="s">
        <v>66</v>
      </c>
      <c r="AV66" s="2609">
        <v>45657</v>
      </c>
      <c r="AW66" s="2114" t="s">
        <v>66</v>
      </c>
      <c r="AX66" s="758">
        <v>28.05</v>
      </c>
      <c r="AY66" s="758"/>
      <c r="AZ66" s="1264"/>
      <c r="BA66" s="2609">
        <v>45658</v>
      </c>
      <c r="BB66" s="2114" t="s">
        <v>66</v>
      </c>
      <c r="BC66" s="2609">
        <v>45838</v>
      </c>
      <c r="BD66" s="2114" t="s">
        <v>66</v>
      </c>
      <c r="BE66" s="758">
        <v>75.92</v>
      </c>
      <c r="BF66" s="758"/>
      <c r="BG66" s="1264"/>
      <c r="BH66" s="2609">
        <v>45839</v>
      </c>
      <c r="BI66" s="2114" t="s">
        <v>66</v>
      </c>
      <c r="BJ66" s="2609">
        <v>46022</v>
      </c>
      <c r="BK66" s="2114" t="s">
        <v>66</v>
      </c>
      <c r="BL66" s="758">
        <v>26.79</v>
      </c>
      <c r="BM66" s="758"/>
      <c r="BN66" s="1264"/>
      <c r="BO66" s="2609">
        <v>46023</v>
      </c>
      <c r="BP66" s="2114" t="s">
        <v>66</v>
      </c>
      <c r="BQ66" s="2609">
        <v>46203</v>
      </c>
      <c r="BR66" s="2114" t="s">
        <v>66</v>
      </c>
      <c r="BS66" s="758">
        <v>28.68</v>
      </c>
      <c r="BT66" s="758"/>
      <c r="BU66" s="1264"/>
      <c r="BV66" s="2609">
        <v>46204</v>
      </c>
      <c r="BW66" s="2114" t="s">
        <v>66</v>
      </c>
      <c r="BX66" s="2609">
        <v>46387</v>
      </c>
      <c r="BY66" s="2114" t="s">
        <v>66</v>
      </c>
      <c r="BZ66" s="758">
        <v>28.68</v>
      </c>
      <c r="CA66" s="758"/>
      <c r="CB66" s="1264"/>
      <c r="CC66" s="2609">
        <v>46388</v>
      </c>
      <c r="CD66" s="2114" t="s">
        <v>66</v>
      </c>
      <c r="CE66" s="2609">
        <v>46568</v>
      </c>
      <c r="CF66" s="2114" t="s">
        <v>66</v>
      </c>
      <c r="CG66" s="758">
        <v>26.76</v>
      </c>
      <c r="CH66" s="758"/>
      <c r="CI66" s="1264"/>
      <c r="CJ66" s="2609">
        <v>46569</v>
      </c>
      <c r="CK66" s="2114" t="s">
        <v>66</v>
      </c>
      <c r="CL66" s="2609">
        <v>46752</v>
      </c>
      <c r="CM66" s="2114" t="s">
        <v>66</v>
      </c>
      <c r="CN66" s="1445"/>
      <c r="CO6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66" s="1649">
        <f>STRCHECKDATE(V67:CN67)</f>
      </c>
      <c r="CQ66" s="1631"/>
      <c r="CR66" s="1631" t="str">
        <f>IF(T66="","",T66)</f>
        <v>Тариф по водоснабжению без НДС</v>
      </c>
      <c r="CS66" s="1631"/>
      <c r="CT66" s="1631"/>
      <c r="CU66" s="1642">
        <v>0</v>
      </c>
    </row>
    <row s="1857" customFormat="1" customHeight="1" ht="14.25">
      <c r="A67" s="1370"/>
      <c r="B67" s="1370"/>
      <c r="C67" s="1370"/>
      <c r="D67" s="1370"/>
      <c r="E67" s="2266"/>
      <c r="F67" s="2266" t="s">
        <v>99</v>
      </c>
      <c r="G67" s="2266"/>
      <c r="H67" s="2266"/>
      <c r="I67" s="2293"/>
      <c r="J67" s="2293"/>
      <c r="K67" s="2263"/>
      <c r="L67" s="1376"/>
      <c r="M67" s="1783"/>
      <c r="N67" s="1783"/>
      <c r="O67" s="1783"/>
      <c r="P67" s="2381"/>
      <c r="Q67" s="2381"/>
      <c r="R67" s="364"/>
      <c r="S67" s="2520"/>
      <c r="T67" s="307"/>
      <c r="U67" s="307"/>
      <c r="V67" s="332"/>
      <c r="W67" s="332"/>
      <c r="X67" s="335" t="str">
        <f>Y66&amp;"-"&amp;AA66</f>
        <v>-</v>
      </c>
      <c r="Y67" s="2316"/>
      <c r="Z67" s="2114"/>
      <c r="AA67" s="2316"/>
      <c r="AB67" s="2114"/>
      <c r="AC67" s="332"/>
      <c r="AD67" s="332"/>
      <c r="AE67" s="335" t="str">
        <f>AF66&amp;"-"&amp;AH66</f>
        <v>44896-45291</v>
      </c>
      <c r="AF67" s="2316"/>
      <c r="AG67" s="2114"/>
      <c r="AH67" s="2295"/>
      <c r="AI67" s="2114"/>
      <c r="AJ67" s="332"/>
      <c r="AK67" s="332"/>
      <c r="AL67" s="335" t="str">
        <f>AM66&amp;"-"&amp;AO66</f>
        <v>45292-45473</v>
      </c>
      <c r="AM67" s="2316"/>
      <c r="AN67" s="2114"/>
      <c r="AO67" s="2316"/>
      <c r="AP67" s="2114"/>
      <c r="AQ67" s="332"/>
      <c r="AR67" s="332"/>
      <c r="AS67" s="335" t="str">
        <f>AT66&amp;"-"&amp;AV66</f>
        <v>45474-45657</v>
      </c>
      <c r="AT67" s="2316"/>
      <c r="AU67" s="2114"/>
      <c r="AV67" s="2316"/>
      <c r="AW67" s="2114"/>
      <c r="AX67" s="332"/>
      <c r="AY67" s="332"/>
      <c r="AZ67" s="335" t="str">
        <f>BA66&amp;"-"&amp;BC66</f>
        <v>45658-45838</v>
      </c>
      <c r="BA67" s="2316"/>
      <c r="BB67" s="2114"/>
      <c r="BC67" s="2316"/>
      <c r="BD67" s="2114"/>
      <c r="BE67" s="332"/>
      <c r="BF67" s="332"/>
      <c r="BG67" s="335" t="str">
        <f>BH66&amp;"-"&amp;BJ66</f>
        <v>45839-46022</v>
      </c>
      <c r="BH67" s="2316"/>
      <c r="BI67" s="2114"/>
      <c r="BJ67" s="2316"/>
      <c r="BK67" s="2114"/>
      <c r="BL67" s="332"/>
      <c r="BM67" s="332"/>
      <c r="BN67" s="335" t="str">
        <f>BO66&amp;"-"&amp;BQ66</f>
        <v>46023-46203</v>
      </c>
      <c r="BO67" s="2316"/>
      <c r="BP67" s="2114"/>
      <c r="BQ67" s="2316"/>
      <c r="BR67" s="2114"/>
      <c r="BS67" s="332"/>
      <c r="BT67" s="332"/>
      <c r="BU67" s="335" t="str">
        <f>BV66&amp;"-"&amp;BX66</f>
        <v>46204-46387</v>
      </c>
      <c r="BV67" s="2316"/>
      <c r="BW67" s="2114"/>
      <c r="BX67" s="2316"/>
      <c r="BY67" s="2114"/>
      <c r="BZ67" s="332"/>
      <c r="CA67" s="332"/>
      <c r="CB67" s="335" t="str">
        <f>CC66&amp;"-"&amp;CE66</f>
        <v>46388-46568</v>
      </c>
      <c r="CC67" s="2316"/>
      <c r="CD67" s="2114"/>
      <c r="CE67" s="2316"/>
      <c r="CF67" s="2114"/>
      <c r="CG67" s="332"/>
      <c r="CH67" s="332"/>
      <c r="CI67" s="335" t="str">
        <f>CJ66&amp;"-"&amp;CL66</f>
        <v>46569-46752</v>
      </c>
      <c r="CJ67" s="2316"/>
      <c r="CK67" s="2114"/>
      <c r="CL67" s="2316"/>
      <c r="CM67" s="2114"/>
      <c r="CN67" s="1446"/>
      <c r="CO67" s="2356"/>
      <c r="CP67" s="1649"/>
      <c r="CQ67" s="1631"/>
      <c r="CR67" s="1631" t="str">
        <f>IF(T67="","",T67)</f>
        <v/>
      </c>
      <c r="CS67" s="1631"/>
      <c r="CT67" s="1631"/>
      <c r="CU67" s="1642">
        <v>0</v>
      </c>
    </row>
    <row s="1857" customFormat="1" customHeight="1" ht="21">
      <c r="A68" s="1370"/>
      <c r="B68" s="1370"/>
      <c r="C68" s="1370"/>
      <c r="D68" s="1370"/>
      <c r="E68" s="2266"/>
      <c r="F68" s="2266" t="s">
        <v>99</v>
      </c>
      <c r="G68" s="2266"/>
      <c r="H68" s="2266"/>
      <c r="I68" s="2293"/>
      <c r="J68" s="2263"/>
      <c r="K68" s="1370"/>
      <c r="L68" s="1376"/>
      <c r="M68" s="1783"/>
      <c r="N68" s="1783"/>
      <c r="O68" s="1783"/>
      <c r="P68" s="2381"/>
      <c r="Q68" s="2381"/>
      <c r="R68" s="363"/>
      <c r="S68" s="2870"/>
      <c r="T68" s="2871" t="s">
        <v>646</v>
      </c>
      <c r="U68" s="2872"/>
      <c r="V68" s="2873"/>
      <c r="W68" s="2874"/>
      <c r="X68" s="2875"/>
      <c r="Y68" s="2876"/>
      <c r="Z68" s="2877"/>
      <c r="AA68" s="2878"/>
      <c r="AB68" s="2879"/>
      <c r="AC68" s="2880"/>
      <c r="AD68" s="2881"/>
      <c r="AE68" s="2882"/>
      <c r="AF68" s="2883"/>
      <c r="AG68" s="2884"/>
      <c r="AH68" s="2885"/>
      <c r="AI68" s="2886"/>
      <c r="AJ68" s="9498"/>
      <c r="AK68" s="9499"/>
      <c r="AL68" s="9500"/>
      <c r="AM68" s="9501"/>
      <c r="AN68" s="9502"/>
      <c r="AO68" s="9503"/>
      <c r="AP68" s="9504"/>
      <c r="AQ68" s="9505"/>
      <c r="AR68" s="9506"/>
      <c r="AS68" s="9507"/>
      <c r="AT68" s="9508"/>
      <c r="AU68" s="9509"/>
      <c r="AV68" s="9510"/>
      <c r="AW68" s="9511"/>
      <c r="AX68" s="9512"/>
      <c r="AY68" s="9513"/>
      <c r="AZ68" s="9514"/>
      <c r="BA68" s="9515"/>
      <c r="BB68" s="9516"/>
      <c r="BC68" s="9517"/>
      <c r="BD68" s="9518"/>
      <c r="BE68" s="9519"/>
      <c r="BF68" s="9520"/>
      <c r="BG68" s="9521"/>
      <c r="BH68" s="9522"/>
      <c r="BI68" s="9523"/>
      <c r="BJ68" s="9524"/>
      <c r="BK68" s="9525"/>
      <c r="BL68" s="9526"/>
      <c r="BM68" s="9527"/>
      <c r="BN68" s="9528"/>
      <c r="BO68" s="9529"/>
      <c r="BP68" s="9530"/>
      <c r="BQ68" s="9531"/>
      <c r="BR68" s="9532"/>
      <c r="BS68" s="9533"/>
      <c r="BT68" s="9534"/>
      <c r="BU68" s="9535"/>
      <c r="BV68" s="9536"/>
      <c r="BW68" s="9537"/>
      <c r="BX68" s="9538"/>
      <c r="BY68" s="9539"/>
      <c r="BZ68" s="9540"/>
      <c r="CA68" s="9541"/>
      <c r="CB68" s="9542"/>
      <c r="CC68" s="9543"/>
      <c r="CD68" s="9544"/>
      <c r="CE68" s="9545"/>
      <c r="CF68" s="9546"/>
      <c r="CG68" s="9547"/>
      <c r="CH68" s="9548"/>
      <c r="CI68" s="9549"/>
      <c r="CJ68" s="9550"/>
      <c r="CK68" s="9551"/>
      <c r="CL68" s="9552"/>
      <c r="CM68" s="12700"/>
      <c r="CN68" s="2894"/>
      <c r="CO68" s="1265" t="s">
        <v>647</v>
      </c>
      <c r="CP68" s="1649"/>
      <c r="CQ68" s="1631"/>
      <c r="CR68" s="1631" t="str">
        <f>IF(T68="","",T68)</f>
        <v>Добавить значение признака дифференциации</v>
      </c>
      <c r="CS68" s="1631"/>
      <c r="CT68" s="1631"/>
      <c r="CU68" s="1642">
        <v>0</v>
      </c>
    </row>
    <row s="1857" customFormat="1" customHeight="1" ht="21">
      <c r="A69" s="1370"/>
      <c r="B69" s="1370"/>
      <c r="C69" s="1370"/>
      <c r="D69" s="1370"/>
      <c r="E69" s="2266"/>
      <c r="F69" s="2266" t="s">
        <v>99</v>
      </c>
      <c r="G69" s="2266"/>
      <c r="H69" s="2266"/>
      <c r="I69" s="2263"/>
      <c r="J69" s="1370"/>
      <c r="K69" s="1370"/>
      <c r="L69" s="1376"/>
      <c r="M69" s="1783"/>
      <c r="N69" s="1783"/>
      <c r="O69" s="1783"/>
      <c r="P69" s="2381"/>
      <c r="Q69" s="2381"/>
      <c r="R69" s="363"/>
      <c r="S69" s="2895"/>
      <c r="T69" s="2896" t="s">
        <v>575</v>
      </c>
      <c r="U69" s="2897"/>
      <c r="V69" s="2898"/>
      <c r="W69" s="2899"/>
      <c r="X69" s="2900"/>
      <c r="Y69" s="2901"/>
      <c r="Z69" s="2902"/>
      <c r="AA69" s="2903"/>
      <c r="AB69" s="2904"/>
      <c r="AC69" s="2905"/>
      <c r="AD69" s="2906"/>
      <c r="AE69" s="2907"/>
      <c r="AF69" s="2908"/>
      <c r="AG69" s="2909"/>
      <c r="AH69" s="2910"/>
      <c r="AI69" s="2911"/>
      <c r="AJ69" s="9554"/>
      <c r="AK69" s="9555"/>
      <c r="AL69" s="9556"/>
      <c r="AM69" s="9557"/>
      <c r="AN69" s="9558"/>
      <c r="AO69" s="9559"/>
      <c r="AP69" s="9560"/>
      <c r="AQ69" s="9561"/>
      <c r="AR69" s="9562"/>
      <c r="AS69" s="9563"/>
      <c r="AT69" s="9564"/>
      <c r="AU69" s="9565"/>
      <c r="AV69" s="9566"/>
      <c r="AW69" s="9567"/>
      <c r="AX69" s="9568"/>
      <c r="AY69" s="9569"/>
      <c r="AZ69" s="9570"/>
      <c r="BA69" s="9571"/>
      <c r="BB69" s="9572"/>
      <c r="BC69" s="9573"/>
      <c r="BD69" s="9574"/>
      <c r="BE69" s="9575"/>
      <c r="BF69" s="9576"/>
      <c r="BG69" s="9577"/>
      <c r="BH69" s="9578"/>
      <c r="BI69" s="9579"/>
      <c r="BJ69" s="9580"/>
      <c r="BK69" s="9581"/>
      <c r="BL69" s="9582"/>
      <c r="BM69" s="9583"/>
      <c r="BN69" s="9584"/>
      <c r="BO69" s="9585"/>
      <c r="BP69" s="9586"/>
      <c r="BQ69" s="9587"/>
      <c r="BR69" s="9588"/>
      <c r="BS69" s="9589"/>
      <c r="BT69" s="9590"/>
      <c r="BU69" s="9591"/>
      <c r="BV69" s="9592"/>
      <c r="BW69" s="9593"/>
      <c r="BX69" s="9594"/>
      <c r="BY69" s="9595"/>
      <c r="BZ69" s="9596"/>
      <c r="CA69" s="9597"/>
      <c r="CB69" s="9598"/>
      <c r="CC69" s="9599"/>
      <c r="CD69" s="9600"/>
      <c r="CE69" s="9601"/>
      <c r="CF69" s="9602"/>
      <c r="CG69" s="9603"/>
      <c r="CH69" s="9604"/>
      <c r="CI69" s="9605"/>
      <c r="CJ69" s="9606"/>
      <c r="CK69" s="9607"/>
      <c r="CL69" s="9608"/>
      <c r="CM69" s="12701"/>
      <c r="CN69" s="2919"/>
      <c r="CO69" s="2920"/>
      <c r="CP69" s="1649"/>
      <c r="CQ69" s="1631"/>
      <c r="CR69" s="1631" t="str">
        <f>IF(T69="","",T69)</f>
        <v>Добавить группу потребителей</v>
      </c>
      <c r="CS69" s="1631"/>
      <c r="CT69" s="1631"/>
      <c r="CU69" s="1642">
        <v>0</v>
      </c>
    </row>
    <row s="1857" customFormat="1" customHeight="1" ht="14.25">
      <c r="A70" s="1370"/>
      <c r="B70" s="1370"/>
      <c r="C70" s="1370"/>
      <c r="D70" s="1370"/>
      <c r="E70" s="2266"/>
      <c r="F70" s="2266" t="s">
        <v>99</v>
      </c>
      <c r="G70" s="2266"/>
      <c r="H70" s="2265"/>
      <c r="I70" s="1370"/>
      <c r="J70" s="1370"/>
      <c r="K70" s="1370"/>
      <c r="L70" s="1376"/>
      <c r="M70" s="1372"/>
      <c r="N70" s="1372"/>
      <c r="O70" s="1373"/>
      <c r="P70" s="1830"/>
      <c r="Q70" s="382"/>
      <c r="R70" s="362"/>
      <c r="S70" s="2921"/>
      <c r="T70" s="2922" t="s">
        <v>648</v>
      </c>
      <c r="U70" s="2923"/>
      <c r="V70" s="2924"/>
      <c r="W70" s="2925"/>
      <c r="X70" s="2926"/>
      <c r="Y70" s="2927"/>
      <c r="Z70" s="2928"/>
      <c r="AA70" s="2929"/>
      <c r="AB70" s="2930"/>
      <c r="AC70" s="2931"/>
      <c r="AD70" s="2932"/>
      <c r="AE70" s="2933"/>
      <c r="AF70" s="2934"/>
      <c r="AG70" s="2935"/>
      <c r="AH70" s="2936"/>
      <c r="AI70" s="2937"/>
      <c r="AJ70" s="9610"/>
      <c r="AK70" s="9611"/>
      <c r="AL70" s="9612"/>
      <c r="AM70" s="9613"/>
      <c r="AN70" s="9614"/>
      <c r="AO70" s="9615"/>
      <c r="AP70" s="9616"/>
      <c r="AQ70" s="9617"/>
      <c r="AR70" s="9618"/>
      <c r="AS70" s="9619"/>
      <c r="AT70" s="9620"/>
      <c r="AU70" s="9621"/>
      <c r="AV70" s="9622"/>
      <c r="AW70" s="9623"/>
      <c r="AX70" s="9624"/>
      <c r="AY70" s="9625"/>
      <c r="AZ70" s="9626"/>
      <c r="BA70" s="9627"/>
      <c r="BB70" s="9628"/>
      <c r="BC70" s="9629"/>
      <c r="BD70" s="9630"/>
      <c r="BE70" s="9631"/>
      <c r="BF70" s="9632"/>
      <c r="BG70" s="9633"/>
      <c r="BH70" s="9634"/>
      <c r="BI70" s="9635"/>
      <c r="BJ70" s="9636"/>
      <c r="BK70" s="9637"/>
      <c r="BL70" s="9638"/>
      <c r="BM70" s="9639"/>
      <c r="BN70" s="9640"/>
      <c r="BO70" s="9641"/>
      <c r="BP70" s="9642"/>
      <c r="BQ70" s="9643"/>
      <c r="BR70" s="9644"/>
      <c r="BS70" s="9645"/>
      <c r="BT70" s="9646"/>
      <c r="BU70" s="9647"/>
      <c r="BV70" s="9648"/>
      <c r="BW70" s="9649"/>
      <c r="BX70" s="9650"/>
      <c r="BY70" s="9651"/>
      <c r="BZ70" s="9652"/>
      <c r="CA70" s="9653"/>
      <c r="CB70" s="9654"/>
      <c r="CC70" s="9655"/>
      <c r="CD70" s="9656"/>
      <c r="CE70" s="9657"/>
      <c r="CF70" s="9658"/>
      <c r="CG70" s="9659"/>
      <c r="CH70" s="9660"/>
      <c r="CI70" s="9661"/>
      <c r="CJ70" s="9662"/>
      <c r="CK70" s="9663"/>
      <c r="CL70" s="9664"/>
      <c r="CM70" s="12702"/>
      <c r="CN70" s="2945"/>
      <c r="CO70" s="2946"/>
      <c r="CP70" s="1649"/>
      <c r="CQ70" s="1631"/>
      <c r="CR70" s="1631" t="str">
        <f>IF(T70="","",T70)</f>
        <v>Добавить наименование признака дифференциации</v>
      </c>
      <c r="CS70" s="1631"/>
      <c r="CT70" s="1631"/>
      <c r="CU70" s="1642">
        <v>0</v>
      </c>
    </row>
    <row s="629" customFormat="1" customHeight="1" ht="14.25">
      <c r="A71" s="1350"/>
      <c r="B71" s="1350"/>
      <c r="C71" s="1350"/>
      <c r="D71" s="1350"/>
      <c r="E71" s="2266"/>
      <c r="F71" s="2265" t="s">
        <v>99</v>
      </c>
      <c r="G71" s="1350"/>
      <c r="H71" s="1350"/>
      <c r="I71" s="1350"/>
      <c r="J71" s="1350"/>
      <c r="K71" s="1350"/>
      <c r="L71" s="1552"/>
      <c r="M71" s="1328"/>
      <c r="N71" s="1328"/>
      <c r="O71" s="1649"/>
      <c r="P71" s="1323"/>
      <c r="Q71" s="1351"/>
      <c r="R71" s="1323"/>
      <c r="S71" s="1329"/>
      <c r="T71" s="1332" t="s">
        <v>316</v>
      </c>
      <c r="U71" s="1331"/>
      <c r="V71" s="1331"/>
      <c r="W71" s="1331"/>
      <c r="X71" s="1331"/>
      <c r="Y71" s="1331"/>
      <c r="Z71" s="1331"/>
      <c r="AA71" s="1331"/>
      <c r="AB71" s="1331"/>
      <c r="AC71" s="1331"/>
      <c r="AD71" s="1331"/>
      <c r="AE71" s="1331"/>
      <c r="AF71" s="1331"/>
      <c r="AG71" s="1331"/>
      <c r="AH71" s="1331"/>
      <c r="AI71" s="1331"/>
      <c r="AJ71" s="1331"/>
      <c r="AK71" s="1331"/>
      <c r="AL71" s="1331"/>
      <c r="AM71" s="1331"/>
      <c r="AN71" s="1331"/>
      <c r="AO71" s="1331"/>
      <c r="AP71" s="1331"/>
      <c r="AQ71" s="1331"/>
      <c r="AR71" s="1331"/>
      <c r="AS71" s="1331"/>
      <c r="AT71" s="1331"/>
      <c r="AU71" s="1331"/>
      <c r="AV71" s="1331"/>
      <c r="AW71" s="1331"/>
      <c r="AX71" s="1331"/>
      <c r="AY71" s="1331"/>
      <c r="AZ71" s="1331"/>
      <c r="BA71" s="1331"/>
      <c r="BB71" s="1331"/>
      <c r="BC71" s="1331"/>
      <c r="BD71" s="1331"/>
      <c r="BE71" s="1331"/>
      <c r="BF71" s="1331"/>
      <c r="BG71" s="1331"/>
      <c r="BH71" s="1331"/>
      <c r="BI71" s="1331"/>
      <c r="BJ71" s="1331"/>
      <c r="BK71" s="1331"/>
      <c r="BL71" s="1331"/>
      <c r="BM71" s="1331"/>
      <c r="BN71" s="1331"/>
      <c r="BO71" s="1331"/>
      <c r="BP71" s="1331"/>
      <c r="BQ71" s="1331"/>
      <c r="BR71" s="1331"/>
      <c r="BS71" s="1331"/>
      <c r="BT71" s="1331"/>
      <c r="BU71" s="1331"/>
      <c r="BV71" s="1331"/>
      <c r="BW71" s="1331"/>
      <c r="BX71" s="1331"/>
      <c r="BY71" s="1331"/>
      <c r="BZ71" s="1331"/>
      <c r="CA71" s="1331"/>
      <c r="CB71" s="1331"/>
      <c r="CC71" s="1331"/>
      <c r="CD71" s="1331"/>
      <c r="CE71" s="1331"/>
      <c r="CF71" s="1331"/>
      <c r="CG71" s="1331"/>
      <c r="CH71" s="1331"/>
      <c r="CI71" s="1331"/>
      <c r="CJ71" s="1331"/>
      <c r="CK71" s="1331"/>
      <c r="CL71" s="1331"/>
      <c r="CM71" s="1331"/>
      <c r="CN71" s="1331"/>
      <c r="CO71" s="1331"/>
      <c r="CP71" s="1649"/>
      <c r="CQ71" s="1631"/>
      <c r="CR71" s="1631" t="str">
        <f>IF(T71="","",T71)</f>
        <v>Добавить централизованную систему для дифференциации</v>
      </c>
      <c r="CS71" s="1631"/>
      <c r="CT71" s="1631"/>
      <c r="CU71" s="1649">
        <v>0</v>
      </c>
    </row>
    <row s="1857" customFormat="1" customHeight="1" ht="23.25">
      <c r="A72" s="1370"/>
      <c r="B72" s="1370" t="s">
        <v>325</v>
      </c>
      <c r="C72" s="1370"/>
      <c r="D72" s="1370"/>
      <c r="E72" s="2266"/>
      <c r="F72" s="2265" t="s">
        <v>91</v>
      </c>
      <c r="G72" s="1370"/>
      <c r="H72" s="1370"/>
      <c r="I72" s="1370"/>
      <c r="J72" s="1370"/>
      <c r="K72" s="1370"/>
      <c r="L72" s="1376"/>
      <c r="M72" s="1372"/>
      <c r="N72" s="1372"/>
      <c r="O72" s="1372"/>
      <c r="P72" s="2132"/>
      <c r="Q72" s="359"/>
      <c r="R72" s="360"/>
      <c r="S72" s="2280" t="str">
        <f>INDEX(PT_DIFFERENTIATION_NUM_TER,MATCH(B72,PT_DIFFERENTIATION_TER_ID,0))</f>
        <v>1.4</v>
      </c>
      <c r="T72" s="1529" t="s">
        <v>560</v>
      </c>
      <c r="U72" s="307"/>
      <c r="V72" s="2249"/>
      <c r="W72" s="2250"/>
      <c r="X72" s="2250"/>
      <c r="Y72" s="2250"/>
      <c r="Z72" s="2250"/>
      <c r="AA72" s="2250"/>
      <c r="AB72" s="2251"/>
      <c r="AC72" s="2249" t="str">
        <f>INDEX(PT_DIFFERENTIATION_TER,MATCH(B72,PT_DIFFERENTIATION_TER_ID,0))</f>
        <v>Территория 4</v>
      </c>
      <c r="AD72" s="2250"/>
      <c r="AE72" s="2250"/>
      <c r="AF72" s="2250"/>
      <c r="AG72" s="2250"/>
      <c r="AH72" s="2250"/>
      <c r="AI72" s="2250"/>
      <c r="AJ72" s="2249"/>
      <c r="AK72" s="2250"/>
      <c r="AL72" s="2250"/>
      <c r="AM72" s="2250"/>
      <c r="AN72" s="2250"/>
      <c r="AO72" s="2250"/>
      <c r="AP72" s="2251"/>
      <c r="AQ72" s="2249"/>
      <c r="AR72" s="2250"/>
      <c r="AS72" s="2250"/>
      <c r="AT72" s="2250"/>
      <c r="AU72" s="2250"/>
      <c r="AV72" s="2250"/>
      <c r="AW72" s="2251"/>
      <c r="AX72" s="2249"/>
      <c r="AY72" s="2250"/>
      <c r="AZ72" s="2250"/>
      <c r="BA72" s="2250"/>
      <c r="BB72" s="2250"/>
      <c r="BC72" s="2250"/>
      <c r="BD72" s="2251"/>
      <c r="BE72" s="2249"/>
      <c r="BF72" s="2250"/>
      <c r="BG72" s="2250"/>
      <c r="BH72" s="2250"/>
      <c r="BI72" s="2250"/>
      <c r="BJ72" s="2250"/>
      <c r="BK72" s="2251"/>
      <c r="BL72" s="2249"/>
      <c r="BM72" s="2250"/>
      <c r="BN72" s="2250"/>
      <c r="BO72" s="2250"/>
      <c r="BP72" s="2250"/>
      <c r="BQ72" s="2250"/>
      <c r="BR72" s="2251"/>
      <c r="BS72" s="2249"/>
      <c r="BT72" s="2250"/>
      <c r="BU72" s="2250"/>
      <c r="BV72" s="2250"/>
      <c r="BW72" s="2250"/>
      <c r="BX72" s="2250"/>
      <c r="BY72" s="2251"/>
      <c r="BZ72" s="2249"/>
      <c r="CA72" s="2250"/>
      <c r="CB72" s="2250"/>
      <c r="CC72" s="2250"/>
      <c r="CD72" s="2250"/>
      <c r="CE72" s="2250"/>
      <c r="CF72" s="2251"/>
      <c r="CG72" s="2249"/>
      <c r="CH72" s="2250"/>
      <c r="CI72" s="2250"/>
      <c r="CJ72" s="2250"/>
      <c r="CK72" s="2250"/>
      <c r="CL72" s="2250"/>
      <c r="CM72" s="4492"/>
      <c r="CN72" s="2251"/>
      <c r="CO72" s="1265" t="s">
        <v>561</v>
      </c>
      <c r="CP72" s="1649"/>
      <c r="CQ72" s="1631"/>
      <c r="CR72" s="1631" t="str">
        <f>IF(T72="","",T72)</f>
        <v>Территория действия тарифа</v>
      </c>
      <c r="CS72" s="1631"/>
      <c r="CT72" s="1631"/>
      <c r="CU72" s="1642">
        <v>0</v>
      </c>
    </row>
    <row s="1857" customFormat="1" customHeight="1" ht="23.25">
      <c r="A73" s="1370"/>
      <c r="B73" s="1370"/>
      <c r="C73" s="1370" t="s">
        <v>326</v>
      </c>
      <c r="D73" s="1370"/>
      <c r="E73" s="2266"/>
      <c r="F73" s="2266" t="s">
        <v>90</v>
      </c>
      <c r="G73" s="2265">
        <v>1</v>
      </c>
      <c r="H73" s="1370"/>
      <c r="I73" s="1370"/>
      <c r="J73" s="1370"/>
      <c r="K73" s="1370"/>
      <c r="L73" s="1376"/>
      <c r="M73" s="1372"/>
      <c r="N73" s="1372"/>
      <c r="O73" s="1372"/>
      <c r="P73" s="361"/>
      <c r="Q73" s="359"/>
      <c r="R73" s="360"/>
      <c r="S73" s="2280" t="str">
        <f>INDEX(PT_DIFFERENTIATION_NUM_CS,MATCH(C73,PT_DIFFERENTIATION_CS_ID,0))</f>
        <v>1.4.1</v>
      </c>
      <c r="T73" s="316" t="s">
        <v>641</v>
      </c>
      <c r="U73" s="307"/>
      <c r="V73" s="2249"/>
      <c r="W73" s="2250"/>
      <c r="X73" s="2250"/>
      <c r="Y73" s="2250"/>
      <c r="Z73" s="2250"/>
      <c r="AA73" s="2250"/>
      <c r="AB73" s="2251"/>
      <c r="AC73" s="2249" t="str">
        <f>INDEX(PT_DIFFERENTIATION_CS,MATCH(C73,PT_DIFFERENTIATION_CS_ID,0))</f>
        <v>Валуйский район</v>
      </c>
      <c r="AD73" s="2250"/>
      <c r="AE73" s="2250"/>
      <c r="AF73" s="2250"/>
      <c r="AG73" s="2250"/>
      <c r="AH73" s="2250"/>
      <c r="AI73" s="2250"/>
      <c r="AJ73" s="2249"/>
      <c r="AK73" s="2250"/>
      <c r="AL73" s="2250"/>
      <c r="AM73" s="2250"/>
      <c r="AN73" s="2250"/>
      <c r="AO73" s="2250"/>
      <c r="AP73" s="2251"/>
      <c r="AQ73" s="2249"/>
      <c r="AR73" s="2250"/>
      <c r="AS73" s="2250"/>
      <c r="AT73" s="2250"/>
      <c r="AU73" s="2250"/>
      <c r="AV73" s="2250"/>
      <c r="AW73" s="2251"/>
      <c r="AX73" s="2249"/>
      <c r="AY73" s="2250"/>
      <c r="AZ73" s="2250"/>
      <c r="BA73" s="2250"/>
      <c r="BB73" s="2250"/>
      <c r="BC73" s="2250"/>
      <c r="BD73" s="2251"/>
      <c r="BE73" s="2249"/>
      <c r="BF73" s="2250"/>
      <c r="BG73" s="2250"/>
      <c r="BH73" s="2250"/>
      <c r="BI73" s="2250"/>
      <c r="BJ73" s="2250"/>
      <c r="BK73" s="2251"/>
      <c r="BL73" s="2249"/>
      <c r="BM73" s="2250"/>
      <c r="BN73" s="2250"/>
      <c r="BO73" s="2250"/>
      <c r="BP73" s="2250"/>
      <c r="BQ73" s="2250"/>
      <c r="BR73" s="2251"/>
      <c r="BS73" s="2249"/>
      <c r="BT73" s="2250"/>
      <c r="BU73" s="2250"/>
      <c r="BV73" s="2250"/>
      <c r="BW73" s="2250"/>
      <c r="BX73" s="2250"/>
      <c r="BY73" s="2251"/>
      <c r="BZ73" s="2249"/>
      <c r="CA73" s="2250"/>
      <c r="CB73" s="2250"/>
      <c r="CC73" s="2250"/>
      <c r="CD73" s="2250"/>
      <c r="CE73" s="2250"/>
      <c r="CF73" s="2251"/>
      <c r="CG73" s="2249"/>
      <c r="CH73" s="2250"/>
      <c r="CI73" s="2250"/>
      <c r="CJ73" s="2250"/>
      <c r="CK73" s="2250"/>
      <c r="CL73" s="2250"/>
      <c r="CM73" s="4492"/>
      <c r="CN73" s="2251"/>
      <c r="CO73" s="1265" t="s">
        <v>642</v>
      </c>
      <c r="CP73" s="1649"/>
      <c r="CQ73" s="1631"/>
      <c r="CR73" s="1631" t="str">
        <f>IF(T73="","",T73)</f>
        <v>Наименование централизованной системы холодного водоснабжения</v>
      </c>
      <c r="CS73" s="1631"/>
      <c r="CT73" s="1631"/>
      <c r="CU73" s="1642">
        <v>0</v>
      </c>
    </row>
    <row s="1857" customFormat="1" customHeight="1" ht="23.25">
      <c r="A74" s="1370"/>
      <c r="B74" s="1370"/>
      <c r="C74" s="1370"/>
      <c r="D74" s="1370"/>
      <c r="E74" s="2266"/>
      <c r="F74" s="2266" t="s">
        <v>90</v>
      </c>
      <c r="G74" s="2266"/>
      <c r="H74" s="2266"/>
      <c r="I74" s="2263" t="str">
        <f>S73&amp;".1"</f>
        <v>1.4.1.1</v>
      </c>
      <c r="J74" s="1370"/>
      <c r="K74" s="1370"/>
      <c r="L74" s="1376"/>
      <c r="M74" s="1783"/>
      <c r="N74" s="1783"/>
      <c r="O74" s="1783"/>
      <c r="P74" s="2381">
        <v>1</v>
      </c>
      <c r="Q74" s="2381"/>
      <c r="R74" s="363"/>
      <c r="S74" s="2280" t="str">
        <f>$I74</f>
        <v>1.4.1.1</v>
      </c>
      <c r="T74" s="292" t="s">
        <v>643</v>
      </c>
      <c r="U74" s="307"/>
      <c r="V74" s="2357"/>
      <c r="W74" s="2358"/>
      <c r="X74" s="2358"/>
      <c r="Y74" s="2358"/>
      <c r="Z74" s="2358"/>
      <c r="AA74" s="2358"/>
      <c r="AB74" s="2359"/>
      <c r="AC74" s="2360" t="s">
        <v>324</v>
      </c>
      <c r="AD74" s="2361"/>
      <c r="AE74" s="2361"/>
      <c r="AF74" s="2361"/>
      <c r="AG74" s="2361"/>
      <c r="AH74" s="2361"/>
      <c r="AI74" s="2361"/>
      <c r="AJ74" s="2357"/>
      <c r="AK74" s="2358"/>
      <c r="AL74" s="2358"/>
      <c r="AM74" s="2358"/>
      <c r="AN74" s="2358"/>
      <c r="AO74" s="2358"/>
      <c r="AP74" s="2359"/>
      <c r="AQ74" s="2357"/>
      <c r="AR74" s="2358"/>
      <c r="AS74" s="2358"/>
      <c r="AT74" s="2358"/>
      <c r="AU74" s="2358"/>
      <c r="AV74" s="2358"/>
      <c r="AW74" s="2359"/>
      <c r="AX74" s="2357"/>
      <c r="AY74" s="2358"/>
      <c r="AZ74" s="2358"/>
      <c r="BA74" s="2358"/>
      <c r="BB74" s="2358"/>
      <c r="BC74" s="2358"/>
      <c r="BD74" s="2359"/>
      <c r="BE74" s="2357"/>
      <c r="BF74" s="2358"/>
      <c r="BG74" s="2358"/>
      <c r="BH74" s="2358"/>
      <c r="BI74" s="2358"/>
      <c r="BJ74" s="2358"/>
      <c r="BK74" s="2359"/>
      <c r="BL74" s="2357"/>
      <c r="BM74" s="2358"/>
      <c r="BN74" s="2358"/>
      <c r="BO74" s="2358"/>
      <c r="BP74" s="2358"/>
      <c r="BQ74" s="2358"/>
      <c r="BR74" s="2359"/>
      <c r="BS74" s="2357"/>
      <c r="BT74" s="2358"/>
      <c r="BU74" s="2358"/>
      <c r="BV74" s="2358"/>
      <c r="BW74" s="2358"/>
      <c r="BX74" s="2358"/>
      <c r="BY74" s="2359"/>
      <c r="BZ74" s="2357"/>
      <c r="CA74" s="2358"/>
      <c r="CB74" s="2358"/>
      <c r="CC74" s="2358"/>
      <c r="CD74" s="2358"/>
      <c r="CE74" s="2358"/>
      <c r="CF74" s="2359"/>
      <c r="CG74" s="2357"/>
      <c r="CH74" s="2358"/>
      <c r="CI74" s="2358"/>
      <c r="CJ74" s="2358"/>
      <c r="CK74" s="2358"/>
      <c r="CL74" s="2358"/>
      <c r="CM74" s="4495"/>
      <c r="CN74" s="2362"/>
      <c r="CO74" s="1265" t="s">
        <v>644</v>
      </c>
      <c r="CP74" s="1649"/>
      <c r="CQ74" s="1631"/>
      <c r="CR74" s="1631" t="str">
        <f>IF(T74="","",T74)</f>
        <v>Наименование признака дифференциации</v>
      </c>
      <c r="CS74" s="1631"/>
      <c r="CT74" s="1631"/>
      <c r="CU74" s="1642">
        <v>0</v>
      </c>
    </row>
    <row s="1857" customFormat="1" customHeight="1" ht="23.25">
      <c r="A75" s="1370"/>
      <c r="B75" s="1370"/>
      <c r="C75" s="1370"/>
      <c r="D75" s="1370"/>
      <c r="E75" s="2266"/>
      <c r="F75" s="2266" t="s">
        <v>90</v>
      </c>
      <c r="G75" s="2266"/>
      <c r="H75" s="2266"/>
      <c r="I75" s="2293"/>
      <c r="J75" s="2263" t="str">
        <f>I74&amp;".1"</f>
        <v>1.4.1.1.1</v>
      </c>
      <c r="K75" s="1370"/>
      <c r="L75" s="1376" t="s">
        <v>569</v>
      </c>
      <c r="M75" s="1783"/>
      <c r="N75" s="1783"/>
      <c r="O75" s="1783"/>
      <c r="P75" s="2381"/>
      <c r="Q75" s="2381">
        <v>1</v>
      </c>
      <c r="R75" s="364"/>
      <c r="S75" s="2280" t="str">
        <f>$J75</f>
        <v>1.4.1.1.1</v>
      </c>
      <c r="T75" s="293" t="s">
        <v>570</v>
      </c>
      <c r="U75" s="307"/>
      <c r="V75" s="2252"/>
      <c r="W75" s="2253"/>
      <c r="X75" s="2253"/>
      <c r="Y75" s="2253"/>
      <c r="Z75" s="2253"/>
      <c r="AA75" s="2253"/>
      <c r="AB75" s="2254"/>
      <c r="AC75" s="2252" t="s">
        <v>656</v>
      </c>
      <c r="AD75" s="2253"/>
      <c r="AE75" s="2253"/>
      <c r="AF75" s="2253"/>
      <c r="AG75" s="2253"/>
      <c r="AH75" s="2253"/>
      <c r="AI75" s="2253"/>
      <c r="AJ75" s="2252"/>
      <c r="AK75" s="2253"/>
      <c r="AL75" s="2253"/>
      <c r="AM75" s="2253"/>
      <c r="AN75" s="2253"/>
      <c r="AO75" s="2253"/>
      <c r="AP75" s="2254"/>
      <c r="AQ75" s="2252"/>
      <c r="AR75" s="2253"/>
      <c r="AS75" s="2253"/>
      <c r="AT75" s="2253"/>
      <c r="AU75" s="2253"/>
      <c r="AV75" s="2253"/>
      <c r="AW75" s="2254"/>
      <c r="AX75" s="2252"/>
      <c r="AY75" s="2253"/>
      <c r="AZ75" s="2253"/>
      <c r="BA75" s="2253"/>
      <c r="BB75" s="2253"/>
      <c r="BC75" s="2253"/>
      <c r="BD75" s="2254"/>
      <c r="BE75" s="2252"/>
      <c r="BF75" s="2253"/>
      <c r="BG75" s="2253"/>
      <c r="BH75" s="2253"/>
      <c r="BI75" s="2253"/>
      <c r="BJ75" s="2253"/>
      <c r="BK75" s="2254"/>
      <c r="BL75" s="2252"/>
      <c r="BM75" s="2253"/>
      <c r="BN75" s="2253"/>
      <c r="BO75" s="2253"/>
      <c r="BP75" s="2253"/>
      <c r="BQ75" s="2253"/>
      <c r="BR75" s="2254"/>
      <c r="BS75" s="2252"/>
      <c r="BT75" s="2253"/>
      <c r="BU75" s="2253"/>
      <c r="BV75" s="2253"/>
      <c r="BW75" s="2253"/>
      <c r="BX75" s="2253"/>
      <c r="BY75" s="2254"/>
      <c r="BZ75" s="2252"/>
      <c r="CA75" s="2253"/>
      <c r="CB75" s="2253"/>
      <c r="CC75" s="2253"/>
      <c r="CD75" s="2253"/>
      <c r="CE75" s="2253"/>
      <c r="CF75" s="2254"/>
      <c r="CG75" s="2252"/>
      <c r="CH75" s="2253"/>
      <c r="CI75" s="2253"/>
      <c r="CJ75" s="2253"/>
      <c r="CK75" s="2253"/>
      <c r="CL75" s="2253"/>
      <c r="CM75" s="4498"/>
      <c r="CN75" s="2254"/>
      <c r="CO75" s="1314" t="s">
        <v>645</v>
      </c>
      <c r="CP75" s="1649"/>
      <c r="CQ75" s="1631"/>
      <c r="CR75" s="1631" t="str">
        <f>IF(T75="","",T75)</f>
        <v>Группа потребителей</v>
      </c>
      <c r="CS75" s="1631"/>
      <c r="CT75" s="1631"/>
      <c r="CU75" s="1642">
        <v>0</v>
      </c>
    </row>
    <row s="1857" customFormat="1" customHeight="1" ht="23.25">
      <c r="A76" s="1370"/>
      <c r="B76" s="1370"/>
      <c r="C76" s="1370"/>
      <c r="D76" s="1370"/>
      <c r="E76" s="2266"/>
      <c r="F76" s="2266" t="s">
        <v>90</v>
      </c>
      <c r="G76" s="2266"/>
      <c r="H76" s="2266"/>
      <c r="I76" s="2293"/>
      <c r="J76" s="2293"/>
      <c r="K76" s="2263" t="str">
        <f>J75&amp;".1"</f>
        <v>1.4.1.1.1.1</v>
      </c>
      <c r="L76" s="1376"/>
      <c r="M76" s="1783"/>
      <c r="N76" s="1783"/>
      <c r="O76" s="1783"/>
      <c r="P76" s="2381"/>
      <c r="Q76" s="2381"/>
      <c r="R76" s="364">
        <v>1</v>
      </c>
      <c r="S76" s="2280" t="str">
        <f>$K76</f>
        <v>1.4.1.1.1.1</v>
      </c>
      <c r="T76" s="1444" t="s">
        <v>657</v>
      </c>
      <c r="U76" s="307"/>
      <c r="V76" s="758"/>
      <c r="W76" s="758"/>
      <c r="X76" s="1264"/>
      <c r="Y76" s="2609"/>
      <c r="Z76" s="2114" t="s">
        <v>66</v>
      </c>
      <c r="AA76" s="2609"/>
      <c r="AB76" s="2114" t="s">
        <v>66</v>
      </c>
      <c r="AC76" s="758">
        <v>27.38</v>
      </c>
      <c r="AD76" s="758"/>
      <c r="AE76" s="1264"/>
      <c r="AF76" s="2609">
        <v>44896</v>
      </c>
      <c r="AG76" s="2114" t="s">
        <v>66</v>
      </c>
      <c r="AH76" s="2294">
        <v>45291</v>
      </c>
      <c r="AI76" s="2114" t="s">
        <v>66</v>
      </c>
      <c r="AJ76" s="758">
        <v>27.38</v>
      </c>
      <c r="AK76" s="758"/>
      <c r="AL76" s="1264"/>
      <c r="AM76" s="2609">
        <v>45292</v>
      </c>
      <c r="AN76" s="2114" t="s">
        <v>66</v>
      </c>
      <c r="AO76" s="2609">
        <v>45473</v>
      </c>
      <c r="AP76" s="2114" t="s">
        <v>66</v>
      </c>
      <c r="AQ76" s="758">
        <v>31.01</v>
      </c>
      <c r="AR76" s="758"/>
      <c r="AS76" s="1264"/>
      <c r="AT76" s="2609">
        <v>45474</v>
      </c>
      <c r="AU76" s="2114" t="s">
        <v>66</v>
      </c>
      <c r="AV76" s="2609">
        <v>45657</v>
      </c>
      <c r="AW76" s="2114" t="s">
        <v>66</v>
      </c>
      <c r="AX76" s="758">
        <v>31.01</v>
      </c>
      <c r="AY76" s="758"/>
      <c r="AZ76" s="1264"/>
      <c r="BA76" s="2609">
        <v>45658</v>
      </c>
      <c r="BB76" s="2114" t="s">
        <v>66</v>
      </c>
      <c r="BC76" s="2609">
        <v>45838</v>
      </c>
      <c r="BD76" s="2114" t="s">
        <v>66</v>
      </c>
      <c r="BE76" s="758">
        <v>75.37</v>
      </c>
      <c r="BF76" s="758"/>
      <c r="BG76" s="1264"/>
      <c r="BH76" s="2609">
        <v>45839</v>
      </c>
      <c r="BI76" s="2114" t="s">
        <v>66</v>
      </c>
      <c r="BJ76" s="2609">
        <v>46022</v>
      </c>
      <c r="BK76" s="2114" t="s">
        <v>66</v>
      </c>
      <c r="BL76" s="758">
        <v>30.02</v>
      </c>
      <c r="BM76" s="758"/>
      <c r="BN76" s="1264"/>
      <c r="BO76" s="2609">
        <v>46023</v>
      </c>
      <c r="BP76" s="2114" t="s">
        <v>66</v>
      </c>
      <c r="BQ76" s="2609">
        <v>46203</v>
      </c>
      <c r="BR76" s="2114" t="s">
        <v>66</v>
      </c>
      <c r="BS76" s="758">
        <v>32.25</v>
      </c>
      <c r="BT76" s="758"/>
      <c r="BU76" s="1264"/>
      <c r="BV76" s="2609">
        <v>46204</v>
      </c>
      <c r="BW76" s="2114" t="s">
        <v>66</v>
      </c>
      <c r="BX76" s="2609">
        <v>46387</v>
      </c>
      <c r="BY76" s="2114" t="s">
        <v>66</v>
      </c>
      <c r="BZ76" s="758">
        <v>32.25</v>
      </c>
      <c r="CA76" s="758"/>
      <c r="CB76" s="1264"/>
      <c r="CC76" s="2609">
        <v>46388</v>
      </c>
      <c r="CD76" s="2114" t="s">
        <v>66</v>
      </c>
      <c r="CE76" s="2609">
        <v>46568</v>
      </c>
      <c r="CF76" s="2114" t="s">
        <v>66</v>
      </c>
      <c r="CG76" s="758">
        <v>32.36</v>
      </c>
      <c r="CH76" s="758"/>
      <c r="CI76" s="1264"/>
      <c r="CJ76" s="2609">
        <v>46569</v>
      </c>
      <c r="CK76" s="2114" t="s">
        <v>66</v>
      </c>
      <c r="CL76" s="2609">
        <v>46752</v>
      </c>
      <c r="CM76" s="2114" t="s">
        <v>66</v>
      </c>
      <c r="CN76" s="1445"/>
      <c r="CO7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76" s="1649">
        <f>STRCHECKDATE(V77:CN77)</f>
      </c>
      <c r="CQ76" s="1631"/>
      <c r="CR76" s="1631" t="str">
        <f>IF(T76="","",T76)</f>
        <v>Тариф по водоснабжению без НДС</v>
      </c>
      <c r="CS76" s="1631"/>
      <c r="CT76" s="1631"/>
      <c r="CU76" s="1642">
        <v>0</v>
      </c>
    </row>
    <row s="1857" customFormat="1" customHeight="1" ht="14.25">
      <c r="A77" s="1370"/>
      <c r="B77" s="1370"/>
      <c r="C77" s="1370"/>
      <c r="D77" s="1370"/>
      <c r="E77" s="2266"/>
      <c r="F77" s="2266" t="s">
        <v>90</v>
      </c>
      <c r="G77" s="2266"/>
      <c r="H77" s="2266"/>
      <c r="I77" s="2293"/>
      <c r="J77" s="2293"/>
      <c r="K77" s="2263"/>
      <c r="L77" s="1376"/>
      <c r="M77" s="1783"/>
      <c r="N77" s="1783"/>
      <c r="O77" s="1783"/>
      <c r="P77" s="2381"/>
      <c r="Q77" s="2381"/>
      <c r="R77" s="364"/>
      <c r="S77" s="2520"/>
      <c r="T77" s="307"/>
      <c r="U77" s="307"/>
      <c r="V77" s="332"/>
      <c r="W77" s="332"/>
      <c r="X77" s="335" t="str">
        <f>Y76&amp;"-"&amp;AA76</f>
        <v>-</v>
      </c>
      <c r="Y77" s="2316"/>
      <c r="Z77" s="2114"/>
      <c r="AA77" s="2316"/>
      <c r="AB77" s="2114"/>
      <c r="AC77" s="332"/>
      <c r="AD77" s="332"/>
      <c r="AE77" s="335" t="str">
        <f>AF76&amp;"-"&amp;AH76</f>
        <v>44896-45291</v>
      </c>
      <c r="AF77" s="2316"/>
      <c r="AG77" s="2114"/>
      <c r="AH77" s="2295"/>
      <c r="AI77" s="2114"/>
      <c r="AJ77" s="332"/>
      <c r="AK77" s="332"/>
      <c r="AL77" s="335" t="str">
        <f>AM76&amp;"-"&amp;AO76</f>
        <v>45292-45473</v>
      </c>
      <c r="AM77" s="2316"/>
      <c r="AN77" s="2114"/>
      <c r="AO77" s="2316"/>
      <c r="AP77" s="2114"/>
      <c r="AQ77" s="332"/>
      <c r="AR77" s="332"/>
      <c r="AS77" s="335" t="str">
        <f>AT76&amp;"-"&amp;AV76</f>
        <v>45474-45657</v>
      </c>
      <c r="AT77" s="2316"/>
      <c r="AU77" s="2114"/>
      <c r="AV77" s="2316"/>
      <c r="AW77" s="2114"/>
      <c r="AX77" s="332"/>
      <c r="AY77" s="332"/>
      <c r="AZ77" s="335" t="str">
        <f>BA76&amp;"-"&amp;BC76</f>
        <v>45658-45838</v>
      </c>
      <c r="BA77" s="2316"/>
      <c r="BB77" s="2114"/>
      <c r="BC77" s="2316"/>
      <c r="BD77" s="2114"/>
      <c r="BE77" s="332"/>
      <c r="BF77" s="332"/>
      <c r="BG77" s="335" t="str">
        <f>BH76&amp;"-"&amp;BJ76</f>
        <v>45839-46022</v>
      </c>
      <c r="BH77" s="2316"/>
      <c r="BI77" s="2114"/>
      <c r="BJ77" s="2316"/>
      <c r="BK77" s="2114"/>
      <c r="BL77" s="332"/>
      <c r="BM77" s="332"/>
      <c r="BN77" s="335" t="str">
        <f>BO76&amp;"-"&amp;BQ76</f>
        <v>46023-46203</v>
      </c>
      <c r="BO77" s="2316"/>
      <c r="BP77" s="2114"/>
      <c r="BQ77" s="2316"/>
      <c r="BR77" s="2114"/>
      <c r="BS77" s="332"/>
      <c r="BT77" s="332"/>
      <c r="BU77" s="335" t="str">
        <f>BV76&amp;"-"&amp;BX76</f>
        <v>46204-46387</v>
      </c>
      <c r="BV77" s="2316"/>
      <c r="BW77" s="2114"/>
      <c r="BX77" s="2316"/>
      <c r="BY77" s="2114"/>
      <c r="BZ77" s="332"/>
      <c r="CA77" s="332"/>
      <c r="CB77" s="335" t="str">
        <f>CC76&amp;"-"&amp;CE76</f>
        <v>46388-46568</v>
      </c>
      <c r="CC77" s="2316"/>
      <c r="CD77" s="2114"/>
      <c r="CE77" s="2316"/>
      <c r="CF77" s="2114"/>
      <c r="CG77" s="332"/>
      <c r="CH77" s="332"/>
      <c r="CI77" s="335" t="str">
        <f>CJ76&amp;"-"&amp;CL76</f>
        <v>46569-46752</v>
      </c>
      <c r="CJ77" s="2316"/>
      <c r="CK77" s="2114"/>
      <c r="CL77" s="2316"/>
      <c r="CM77" s="2114"/>
      <c r="CN77" s="1446"/>
      <c r="CO77" s="2356"/>
      <c r="CP77" s="1649"/>
      <c r="CQ77" s="1631"/>
      <c r="CR77" s="1631" t="str">
        <f>IF(T77="","",T77)</f>
        <v/>
      </c>
      <c r="CS77" s="1631"/>
      <c r="CT77" s="1631"/>
      <c r="CU77" s="1642">
        <v>0</v>
      </c>
    </row>
    <row s="1857" customFormat="1" customHeight="1" ht="21">
      <c r="A78" s="1370"/>
      <c r="B78" s="1370"/>
      <c r="C78" s="1370"/>
      <c r="D78" s="1370"/>
      <c r="E78" s="2266"/>
      <c r="F78" s="2266" t="s">
        <v>90</v>
      </c>
      <c r="G78" s="2266"/>
      <c r="H78" s="2266"/>
      <c r="I78" s="2293"/>
      <c r="J78" s="2263"/>
      <c r="K78" s="1370"/>
      <c r="L78" s="1376"/>
      <c r="M78" s="1783"/>
      <c r="N78" s="1783"/>
      <c r="O78" s="1783"/>
      <c r="P78" s="2381"/>
      <c r="Q78" s="2381"/>
      <c r="R78" s="363"/>
      <c r="S78" s="2947"/>
      <c r="T78" s="2948" t="s">
        <v>646</v>
      </c>
      <c r="U78" s="2949"/>
      <c r="V78" s="2950"/>
      <c r="W78" s="2951"/>
      <c r="X78" s="2952"/>
      <c r="Y78" s="2953"/>
      <c r="Z78" s="2954"/>
      <c r="AA78" s="2955"/>
      <c r="AB78" s="2956"/>
      <c r="AC78" s="2957"/>
      <c r="AD78" s="2958"/>
      <c r="AE78" s="2959"/>
      <c r="AF78" s="2960"/>
      <c r="AG78" s="2961"/>
      <c r="AH78" s="2962"/>
      <c r="AI78" s="2963"/>
      <c r="AJ78" s="9666"/>
      <c r="AK78" s="9667"/>
      <c r="AL78" s="9668"/>
      <c r="AM78" s="9669"/>
      <c r="AN78" s="9670"/>
      <c r="AO78" s="9671"/>
      <c r="AP78" s="9672"/>
      <c r="AQ78" s="9673"/>
      <c r="AR78" s="9674"/>
      <c r="AS78" s="9675"/>
      <c r="AT78" s="9676"/>
      <c r="AU78" s="9677"/>
      <c r="AV78" s="9678"/>
      <c r="AW78" s="9679"/>
      <c r="AX78" s="9680"/>
      <c r="AY78" s="9681"/>
      <c r="AZ78" s="9682"/>
      <c r="BA78" s="9683"/>
      <c r="BB78" s="9684"/>
      <c r="BC78" s="9685"/>
      <c r="BD78" s="9686"/>
      <c r="BE78" s="9687"/>
      <c r="BF78" s="9688"/>
      <c r="BG78" s="9689"/>
      <c r="BH78" s="9690"/>
      <c r="BI78" s="9691"/>
      <c r="BJ78" s="9692"/>
      <c r="BK78" s="9693"/>
      <c r="BL78" s="9694"/>
      <c r="BM78" s="9695"/>
      <c r="BN78" s="9696"/>
      <c r="BO78" s="9697"/>
      <c r="BP78" s="9698"/>
      <c r="BQ78" s="9699"/>
      <c r="BR78" s="9700"/>
      <c r="BS78" s="9701"/>
      <c r="BT78" s="9702"/>
      <c r="BU78" s="9703"/>
      <c r="BV78" s="9704"/>
      <c r="BW78" s="9705"/>
      <c r="BX78" s="9706"/>
      <c r="BY78" s="9707"/>
      <c r="BZ78" s="9708"/>
      <c r="CA78" s="9709"/>
      <c r="CB78" s="9710"/>
      <c r="CC78" s="9711"/>
      <c r="CD78" s="9712"/>
      <c r="CE78" s="9713"/>
      <c r="CF78" s="9714"/>
      <c r="CG78" s="9715"/>
      <c r="CH78" s="9716"/>
      <c r="CI78" s="9717"/>
      <c r="CJ78" s="9718"/>
      <c r="CK78" s="9719"/>
      <c r="CL78" s="9720"/>
      <c r="CM78" s="12703"/>
      <c r="CN78" s="2971"/>
      <c r="CO78" s="1265" t="s">
        <v>647</v>
      </c>
      <c r="CP78" s="1649"/>
      <c r="CQ78" s="1631"/>
      <c r="CR78" s="1631" t="str">
        <f>IF(T78="","",T78)</f>
        <v>Добавить значение признака дифференциации</v>
      </c>
      <c r="CS78" s="1631"/>
      <c r="CT78" s="1631"/>
      <c r="CU78" s="1642">
        <v>0</v>
      </c>
    </row>
    <row s="1857" customFormat="1" customHeight="1" ht="21">
      <c r="A79" s="1370"/>
      <c r="B79" s="1370"/>
      <c r="C79" s="1370"/>
      <c r="D79" s="1370"/>
      <c r="E79" s="2266"/>
      <c r="F79" s="2266" t="s">
        <v>90</v>
      </c>
      <c r="G79" s="2266"/>
      <c r="H79" s="2266"/>
      <c r="I79" s="2263"/>
      <c r="J79" s="1370"/>
      <c r="K79" s="1370"/>
      <c r="L79" s="1376"/>
      <c r="M79" s="1783"/>
      <c r="N79" s="1783"/>
      <c r="O79" s="1783"/>
      <c r="P79" s="2381"/>
      <c r="Q79" s="2381"/>
      <c r="R79" s="363"/>
      <c r="S79" s="2972"/>
      <c r="T79" s="2973" t="s">
        <v>575</v>
      </c>
      <c r="U79" s="2974"/>
      <c r="V79" s="2975"/>
      <c r="W79" s="2976"/>
      <c r="X79" s="2977"/>
      <c r="Y79" s="2978"/>
      <c r="Z79" s="2979"/>
      <c r="AA79" s="2980"/>
      <c r="AB79" s="2981"/>
      <c r="AC79" s="2982"/>
      <c r="AD79" s="2983"/>
      <c r="AE79" s="2984"/>
      <c r="AF79" s="2985"/>
      <c r="AG79" s="2986"/>
      <c r="AH79" s="2987"/>
      <c r="AI79" s="2988"/>
      <c r="AJ79" s="9722"/>
      <c r="AK79" s="9723"/>
      <c r="AL79" s="9724"/>
      <c r="AM79" s="9725"/>
      <c r="AN79" s="9726"/>
      <c r="AO79" s="9727"/>
      <c r="AP79" s="9728"/>
      <c r="AQ79" s="9729"/>
      <c r="AR79" s="9730"/>
      <c r="AS79" s="9731"/>
      <c r="AT79" s="9732"/>
      <c r="AU79" s="9733"/>
      <c r="AV79" s="9734"/>
      <c r="AW79" s="9735"/>
      <c r="AX79" s="9736"/>
      <c r="AY79" s="9737"/>
      <c r="AZ79" s="9738"/>
      <c r="BA79" s="9739"/>
      <c r="BB79" s="9740"/>
      <c r="BC79" s="9741"/>
      <c r="BD79" s="9742"/>
      <c r="BE79" s="9743"/>
      <c r="BF79" s="9744"/>
      <c r="BG79" s="9745"/>
      <c r="BH79" s="9746"/>
      <c r="BI79" s="9747"/>
      <c r="BJ79" s="9748"/>
      <c r="BK79" s="9749"/>
      <c r="BL79" s="9750"/>
      <c r="BM79" s="9751"/>
      <c r="BN79" s="9752"/>
      <c r="BO79" s="9753"/>
      <c r="BP79" s="9754"/>
      <c r="BQ79" s="9755"/>
      <c r="BR79" s="9756"/>
      <c r="BS79" s="9757"/>
      <c r="BT79" s="9758"/>
      <c r="BU79" s="9759"/>
      <c r="BV79" s="9760"/>
      <c r="BW79" s="9761"/>
      <c r="BX79" s="9762"/>
      <c r="BY79" s="9763"/>
      <c r="BZ79" s="9764"/>
      <c r="CA79" s="9765"/>
      <c r="CB79" s="9766"/>
      <c r="CC79" s="9767"/>
      <c r="CD79" s="9768"/>
      <c r="CE79" s="9769"/>
      <c r="CF79" s="9770"/>
      <c r="CG79" s="9771"/>
      <c r="CH79" s="9772"/>
      <c r="CI79" s="9773"/>
      <c r="CJ79" s="9774"/>
      <c r="CK79" s="9775"/>
      <c r="CL79" s="9776"/>
      <c r="CM79" s="12704"/>
      <c r="CN79" s="2996"/>
      <c r="CO79" s="2997"/>
      <c r="CP79" s="1649"/>
      <c r="CQ79" s="1631"/>
      <c r="CR79" s="1631" t="str">
        <f>IF(T79="","",T79)</f>
        <v>Добавить группу потребителей</v>
      </c>
      <c r="CS79" s="1631"/>
      <c r="CT79" s="1631"/>
      <c r="CU79" s="1642">
        <v>0</v>
      </c>
    </row>
    <row s="1857" customFormat="1" customHeight="1" ht="14.25">
      <c r="A80" s="1370"/>
      <c r="B80" s="1370"/>
      <c r="C80" s="1370"/>
      <c r="D80" s="1370"/>
      <c r="E80" s="2266"/>
      <c r="F80" s="2266" t="s">
        <v>90</v>
      </c>
      <c r="G80" s="2266"/>
      <c r="H80" s="2265"/>
      <c r="I80" s="1370"/>
      <c r="J80" s="1370"/>
      <c r="K80" s="1370"/>
      <c r="L80" s="1376"/>
      <c r="M80" s="1372"/>
      <c r="N80" s="1372"/>
      <c r="O80" s="1373"/>
      <c r="P80" s="1830"/>
      <c r="Q80" s="382"/>
      <c r="R80" s="362"/>
      <c r="S80" s="2998"/>
      <c r="T80" s="2999" t="s">
        <v>648</v>
      </c>
      <c r="U80" s="3000"/>
      <c r="V80" s="3001"/>
      <c r="W80" s="3002"/>
      <c r="X80" s="3003"/>
      <c r="Y80" s="3004"/>
      <c r="Z80" s="3005"/>
      <c r="AA80" s="3006"/>
      <c r="AB80" s="3007"/>
      <c r="AC80" s="3008"/>
      <c r="AD80" s="3009"/>
      <c r="AE80" s="3010"/>
      <c r="AF80" s="3011"/>
      <c r="AG80" s="3012"/>
      <c r="AH80" s="3013"/>
      <c r="AI80" s="3014"/>
      <c r="AJ80" s="9778"/>
      <c r="AK80" s="9779"/>
      <c r="AL80" s="9780"/>
      <c r="AM80" s="9781"/>
      <c r="AN80" s="9782"/>
      <c r="AO80" s="9783"/>
      <c r="AP80" s="9784"/>
      <c r="AQ80" s="9785"/>
      <c r="AR80" s="9786"/>
      <c r="AS80" s="9787"/>
      <c r="AT80" s="9788"/>
      <c r="AU80" s="9789"/>
      <c r="AV80" s="9790"/>
      <c r="AW80" s="9791"/>
      <c r="AX80" s="9792"/>
      <c r="AY80" s="9793"/>
      <c r="AZ80" s="9794"/>
      <c r="BA80" s="9795"/>
      <c r="BB80" s="9796"/>
      <c r="BC80" s="9797"/>
      <c r="BD80" s="9798"/>
      <c r="BE80" s="9799"/>
      <c r="BF80" s="9800"/>
      <c r="BG80" s="9801"/>
      <c r="BH80" s="9802"/>
      <c r="BI80" s="9803"/>
      <c r="BJ80" s="9804"/>
      <c r="BK80" s="9805"/>
      <c r="BL80" s="9806"/>
      <c r="BM80" s="9807"/>
      <c r="BN80" s="9808"/>
      <c r="BO80" s="9809"/>
      <c r="BP80" s="9810"/>
      <c r="BQ80" s="9811"/>
      <c r="BR80" s="9812"/>
      <c r="BS80" s="9813"/>
      <c r="BT80" s="9814"/>
      <c r="BU80" s="9815"/>
      <c r="BV80" s="9816"/>
      <c r="BW80" s="9817"/>
      <c r="BX80" s="9818"/>
      <c r="BY80" s="9819"/>
      <c r="BZ80" s="9820"/>
      <c r="CA80" s="9821"/>
      <c r="CB80" s="9822"/>
      <c r="CC80" s="9823"/>
      <c r="CD80" s="9824"/>
      <c r="CE80" s="9825"/>
      <c r="CF80" s="9826"/>
      <c r="CG80" s="9827"/>
      <c r="CH80" s="9828"/>
      <c r="CI80" s="9829"/>
      <c r="CJ80" s="9830"/>
      <c r="CK80" s="9831"/>
      <c r="CL80" s="9832"/>
      <c r="CM80" s="12705"/>
      <c r="CN80" s="3022"/>
      <c r="CO80" s="3023"/>
      <c r="CP80" s="1649"/>
      <c r="CQ80" s="1631"/>
      <c r="CR80" s="1631" t="str">
        <f>IF(T80="","",T80)</f>
        <v>Добавить наименование признака дифференциации</v>
      </c>
      <c r="CS80" s="1631"/>
      <c r="CT80" s="1631"/>
      <c r="CU80" s="1642">
        <v>0</v>
      </c>
    </row>
    <row s="629" customFormat="1" customHeight="1" ht="14.25">
      <c r="A81" s="1350"/>
      <c r="B81" s="1350"/>
      <c r="C81" s="1350"/>
      <c r="D81" s="1350"/>
      <c r="E81" s="2266"/>
      <c r="F81" s="2265" t="s">
        <v>90</v>
      </c>
      <c r="G81" s="1350"/>
      <c r="H81" s="1350"/>
      <c r="I81" s="1350"/>
      <c r="J81" s="1350"/>
      <c r="K81" s="1350"/>
      <c r="L81" s="1552"/>
      <c r="M81" s="1328"/>
      <c r="N81" s="1328"/>
      <c r="O81" s="1649"/>
      <c r="P81" s="1323"/>
      <c r="Q81" s="1351"/>
      <c r="R81" s="1323"/>
      <c r="S81" s="1329"/>
      <c r="T81" s="1332" t="s">
        <v>316</v>
      </c>
      <c r="U81" s="1331"/>
      <c r="V81" s="1331"/>
      <c r="W81" s="1331"/>
      <c r="X81" s="1331"/>
      <c r="Y81" s="1331"/>
      <c r="Z81" s="1331"/>
      <c r="AA81" s="1331"/>
      <c r="AB81" s="1331"/>
      <c r="AC81" s="1331"/>
      <c r="AD81" s="1331"/>
      <c r="AE81" s="1331"/>
      <c r="AF81" s="1331"/>
      <c r="AG81" s="1331"/>
      <c r="AH81" s="1331"/>
      <c r="AI81" s="1331"/>
      <c r="AJ81" s="1331"/>
      <c r="AK81" s="1331"/>
      <c r="AL81" s="1331"/>
      <c r="AM81" s="1331"/>
      <c r="AN81" s="1331"/>
      <c r="AO81" s="1331"/>
      <c r="AP81" s="1331"/>
      <c r="AQ81" s="1331"/>
      <c r="AR81" s="1331"/>
      <c r="AS81" s="1331"/>
      <c r="AT81" s="1331"/>
      <c r="AU81" s="1331"/>
      <c r="AV81" s="1331"/>
      <c r="AW81" s="1331"/>
      <c r="AX81" s="1331"/>
      <c r="AY81" s="1331"/>
      <c r="AZ81" s="1331"/>
      <c r="BA81" s="1331"/>
      <c r="BB81" s="1331"/>
      <c r="BC81" s="1331"/>
      <c r="BD81" s="1331"/>
      <c r="BE81" s="1331"/>
      <c r="BF81" s="1331"/>
      <c r="BG81" s="1331"/>
      <c r="BH81" s="1331"/>
      <c r="BI81" s="1331"/>
      <c r="BJ81" s="1331"/>
      <c r="BK81" s="1331"/>
      <c r="BL81" s="1331"/>
      <c r="BM81" s="1331"/>
      <c r="BN81" s="1331"/>
      <c r="BO81" s="1331"/>
      <c r="BP81" s="1331"/>
      <c r="BQ81" s="1331"/>
      <c r="BR81" s="1331"/>
      <c r="BS81" s="1331"/>
      <c r="BT81" s="1331"/>
      <c r="BU81" s="1331"/>
      <c r="BV81" s="1331"/>
      <c r="BW81" s="1331"/>
      <c r="BX81" s="1331"/>
      <c r="BY81" s="1331"/>
      <c r="BZ81" s="1331"/>
      <c r="CA81" s="1331"/>
      <c r="CB81" s="1331"/>
      <c r="CC81" s="1331"/>
      <c r="CD81" s="1331"/>
      <c r="CE81" s="1331"/>
      <c r="CF81" s="1331"/>
      <c r="CG81" s="1331"/>
      <c r="CH81" s="1331"/>
      <c r="CI81" s="1331"/>
      <c r="CJ81" s="1331"/>
      <c r="CK81" s="1331"/>
      <c r="CL81" s="1331"/>
      <c r="CM81" s="1331"/>
      <c r="CN81" s="1331"/>
      <c r="CO81" s="1331"/>
      <c r="CP81" s="1649"/>
      <c r="CQ81" s="1631"/>
      <c r="CR81" s="1631" t="str">
        <f>IF(T81="","",T81)</f>
        <v>Добавить централизованную систему для дифференциации</v>
      </c>
      <c r="CS81" s="1631"/>
      <c r="CT81" s="1631"/>
      <c r="CU81" s="1649">
        <v>0</v>
      </c>
    </row>
    <row s="1857" customFormat="1" customHeight="1" ht="23.25">
      <c r="A82" s="1370"/>
      <c r="B82" s="1370" t="s">
        <v>329</v>
      </c>
      <c r="C82" s="1370"/>
      <c r="D82" s="1370"/>
      <c r="E82" s="2266"/>
      <c r="F82" s="2265" t="s">
        <v>119</v>
      </c>
      <c r="G82" s="1370"/>
      <c r="H82" s="1370"/>
      <c r="I82" s="1370"/>
      <c r="J82" s="1370"/>
      <c r="K82" s="1370"/>
      <c r="L82" s="1376"/>
      <c r="M82" s="1372"/>
      <c r="N82" s="1372"/>
      <c r="O82" s="1372"/>
      <c r="P82" s="2132"/>
      <c r="Q82" s="359"/>
      <c r="R82" s="360"/>
      <c r="S82" s="2280" t="str">
        <f>INDEX(PT_DIFFERENTIATION_NUM_TER,MATCH(B82,PT_DIFFERENTIATION_TER_ID,0))</f>
        <v>1.5</v>
      </c>
      <c r="T82" s="1529" t="s">
        <v>560</v>
      </c>
      <c r="U82" s="307"/>
      <c r="V82" s="2249"/>
      <c r="W82" s="2250"/>
      <c r="X82" s="2250"/>
      <c r="Y82" s="2250"/>
      <c r="Z82" s="2250"/>
      <c r="AA82" s="2250"/>
      <c r="AB82" s="2251"/>
      <c r="AC82" s="2249" t="str">
        <f>INDEX(PT_DIFFERENTIATION_TER,MATCH(B82,PT_DIFFERENTIATION_TER_ID,0))</f>
        <v>Территория 5</v>
      </c>
      <c r="AD82" s="2250"/>
      <c r="AE82" s="2250"/>
      <c r="AF82" s="2250"/>
      <c r="AG82" s="2250"/>
      <c r="AH82" s="2250"/>
      <c r="AI82" s="2250"/>
      <c r="AJ82" s="2249"/>
      <c r="AK82" s="2250"/>
      <c r="AL82" s="2250"/>
      <c r="AM82" s="2250"/>
      <c r="AN82" s="2250"/>
      <c r="AO82" s="2250"/>
      <c r="AP82" s="2251"/>
      <c r="AQ82" s="2249"/>
      <c r="AR82" s="2250"/>
      <c r="AS82" s="2250"/>
      <c r="AT82" s="2250"/>
      <c r="AU82" s="2250"/>
      <c r="AV82" s="2250"/>
      <c r="AW82" s="2251"/>
      <c r="AX82" s="2249"/>
      <c r="AY82" s="2250"/>
      <c r="AZ82" s="2250"/>
      <c r="BA82" s="2250"/>
      <c r="BB82" s="2250"/>
      <c r="BC82" s="2250"/>
      <c r="BD82" s="2251"/>
      <c r="BE82" s="2249"/>
      <c r="BF82" s="2250"/>
      <c r="BG82" s="2250"/>
      <c r="BH82" s="2250"/>
      <c r="BI82" s="2250"/>
      <c r="BJ82" s="2250"/>
      <c r="BK82" s="2251"/>
      <c r="BL82" s="2249"/>
      <c r="BM82" s="2250"/>
      <c r="BN82" s="2250"/>
      <c r="BO82" s="2250"/>
      <c r="BP82" s="2250"/>
      <c r="BQ82" s="2250"/>
      <c r="BR82" s="2251"/>
      <c r="BS82" s="2249"/>
      <c r="BT82" s="2250"/>
      <c r="BU82" s="2250"/>
      <c r="BV82" s="2250"/>
      <c r="BW82" s="2250"/>
      <c r="BX82" s="2250"/>
      <c r="BY82" s="2251"/>
      <c r="BZ82" s="2249"/>
      <c r="CA82" s="2250"/>
      <c r="CB82" s="2250"/>
      <c r="CC82" s="2250"/>
      <c r="CD82" s="2250"/>
      <c r="CE82" s="2250"/>
      <c r="CF82" s="2251"/>
      <c r="CG82" s="2249"/>
      <c r="CH82" s="2250"/>
      <c r="CI82" s="2250"/>
      <c r="CJ82" s="2250"/>
      <c r="CK82" s="2250"/>
      <c r="CL82" s="2250"/>
      <c r="CM82" s="4492"/>
      <c r="CN82" s="2251"/>
      <c r="CO82" s="1265" t="s">
        <v>561</v>
      </c>
      <c r="CP82" s="1649"/>
      <c r="CQ82" s="1631"/>
      <c r="CR82" s="1631" t="str">
        <f>IF(T82="","",T82)</f>
        <v>Территория действия тарифа</v>
      </c>
      <c r="CS82" s="1631"/>
      <c r="CT82" s="1631"/>
      <c r="CU82" s="1642">
        <v>0</v>
      </c>
    </row>
    <row s="1857" customFormat="1" customHeight="1" ht="23.25">
      <c r="A83" s="1370"/>
      <c r="B83" s="1370"/>
      <c r="C83" s="1370" t="s">
        <v>330</v>
      </c>
      <c r="D83" s="1370"/>
      <c r="E83" s="2266"/>
      <c r="F83" s="2266" t="s">
        <v>91</v>
      </c>
      <c r="G83" s="2265">
        <v>1</v>
      </c>
      <c r="H83" s="1370"/>
      <c r="I83" s="1370"/>
      <c r="J83" s="1370"/>
      <c r="K83" s="1370"/>
      <c r="L83" s="1376"/>
      <c r="M83" s="1372"/>
      <c r="N83" s="1372"/>
      <c r="O83" s="1372"/>
      <c r="P83" s="361"/>
      <c r="Q83" s="359"/>
      <c r="R83" s="360"/>
      <c r="S83" s="2280" t="str">
        <f>INDEX(PT_DIFFERENTIATION_NUM_CS,MATCH(C83,PT_DIFFERENTIATION_CS_ID,0))</f>
        <v>1.5.1</v>
      </c>
      <c r="T83" s="316" t="s">
        <v>641</v>
      </c>
      <c r="U83" s="307"/>
      <c r="V83" s="2249"/>
      <c r="W83" s="2250"/>
      <c r="X83" s="2250"/>
      <c r="Y83" s="2250"/>
      <c r="Z83" s="2250"/>
      <c r="AA83" s="2250"/>
      <c r="AB83" s="2251"/>
      <c r="AC83" s="2249" t="str">
        <f>INDEX(PT_DIFFERENTIATION_CS,MATCH(C83,PT_DIFFERENTIATION_CS_ID,0))</f>
        <v>Вейделевский район</v>
      </c>
      <c r="AD83" s="2250"/>
      <c r="AE83" s="2250"/>
      <c r="AF83" s="2250"/>
      <c r="AG83" s="2250"/>
      <c r="AH83" s="2250"/>
      <c r="AI83" s="2250"/>
      <c r="AJ83" s="2249"/>
      <c r="AK83" s="2250"/>
      <c r="AL83" s="2250"/>
      <c r="AM83" s="2250"/>
      <c r="AN83" s="2250"/>
      <c r="AO83" s="2250"/>
      <c r="AP83" s="2251"/>
      <c r="AQ83" s="2249"/>
      <c r="AR83" s="2250"/>
      <c r="AS83" s="2250"/>
      <c r="AT83" s="2250"/>
      <c r="AU83" s="2250"/>
      <c r="AV83" s="2250"/>
      <c r="AW83" s="2251"/>
      <c r="AX83" s="2249"/>
      <c r="AY83" s="2250"/>
      <c r="AZ83" s="2250"/>
      <c r="BA83" s="2250"/>
      <c r="BB83" s="2250"/>
      <c r="BC83" s="2250"/>
      <c r="BD83" s="2251"/>
      <c r="BE83" s="2249"/>
      <c r="BF83" s="2250"/>
      <c r="BG83" s="2250"/>
      <c r="BH83" s="2250"/>
      <c r="BI83" s="2250"/>
      <c r="BJ83" s="2250"/>
      <c r="BK83" s="2251"/>
      <c r="BL83" s="2249"/>
      <c r="BM83" s="2250"/>
      <c r="BN83" s="2250"/>
      <c r="BO83" s="2250"/>
      <c r="BP83" s="2250"/>
      <c r="BQ83" s="2250"/>
      <c r="BR83" s="2251"/>
      <c r="BS83" s="2249"/>
      <c r="BT83" s="2250"/>
      <c r="BU83" s="2250"/>
      <c r="BV83" s="2250"/>
      <c r="BW83" s="2250"/>
      <c r="BX83" s="2250"/>
      <c r="BY83" s="2251"/>
      <c r="BZ83" s="2249"/>
      <c r="CA83" s="2250"/>
      <c r="CB83" s="2250"/>
      <c r="CC83" s="2250"/>
      <c r="CD83" s="2250"/>
      <c r="CE83" s="2250"/>
      <c r="CF83" s="2251"/>
      <c r="CG83" s="2249"/>
      <c r="CH83" s="2250"/>
      <c r="CI83" s="2250"/>
      <c r="CJ83" s="2250"/>
      <c r="CK83" s="2250"/>
      <c r="CL83" s="2250"/>
      <c r="CM83" s="4492"/>
      <c r="CN83" s="2251"/>
      <c r="CO83" s="1265" t="s">
        <v>642</v>
      </c>
      <c r="CP83" s="1649"/>
      <c r="CQ83" s="1631"/>
      <c r="CR83" s="1631" t="str">
        <f>IF(T83="","",T83)</f>
        <v>Наименование централизованной системы холодного водоснабжения</v>
      </c>
      <c r="CS83" s="1631"/>
      <c r="CT83" s="1631"/>
      <c r="CU83" s="1642">
        <v>0</v>
      </c>
    </row>
    <row s="1857" customFormat="1" customHeight="1" ht="23.25">
      <c r="A84" s="1370"/>
      <c r="B84" s="1370"/>
      <c r="C84" s="1370"/>
      <c r="D84" s="1370"/>
      <c r="E84" s="2266"/>
      <c r="F84" s="2266" t="s">
        <v>91</v>
      </c>
      <c r="G84" s="2266"/>
      <c r="H84" s="2266"/>
      <c r="I84" s="2263" t="str">
        <f>S83&amp;".1"</f>
        <v>1.5.1.1</v>
      </c>
      <c r="J84" s="1370"/>
      <c r="K84" s="1370"/>
      <c r="L84" s="1376"/>
      <c r="M84" s="1783"/>
      <c r="N84" s="1783"/>
      <c r="O84" s="1783"/>
      <c r="P84" s="2381">
        <v>1</v>
      </c>
      <c r="Q84" s="2381"/>
      <c r="R84" s="363"/>
      <c r="S84" s="2280" t="str">
        <f>$I84</f>
        <v>1.5.1.1</v>
      </c>
      <c r="T84" s="292" t="s">
        <v>643</v>
      </c>
      <c r="U84" s="307"/>
      <c r="V84" s="2357"/>
      <c r="W84" s="2358"/>
      <c r="X84" s="2358"/>
      <c r="Y84" s="2358"/>
      <c r="Z84" s="2358"/>
      <c r="AA84" s="2358"/>
      <c r="AB84" s="2359"/>
      <c r="AC84" s="2360" t="s">
        <v>328</v>
      </c>
      <c r="AD84" s="2361"/>
      <c r="AE84" s="2361"/>
      <c r="AF84" s="2361"/>
      <c r="AG84" s="2361"/>
      <c r="AH84" s="2361"/>
      <c r="AI84" s="2361"/>
      <c r="AJ84" s="2357"/>
      <c r="AK84" s="2358"/>
      <c r="AL84" s="2358"/>
      <c r="AM84" s="2358"/>
      <c r="AN84" s="2358"/>
      <c r="AO84" s="2358"/>
      <c r="AP84" s="2359"/>
      <c r="AQ84" s="2357"/>
      <c r="AR84" s="2358"/>
      <c r="AS84" s="2358"/>
      <c r="AT84" s="2358"/>
      <c r="AU84" s="2358"/>
      <c r="AV84" s="2358"/>
      <c r="AW84" s="2359"/>
      <c r="AX84" s="2357"/>
      <c r="AY84" s="2358"/>
      <c r="AZ84" s="2358"/>
      <c r="BA84" s="2358"/>
      <c r="BB84" s="2358"/>
      <c r="BC84" s="2358"/>
      <c r="BD84" s="2359"/>
      <c r="BE84" s="2357"/>
      <c r="BF84" s="2358"/>
      <c r="BG84" s="2358"/>
      <c r="BH84" s="2358"/>
      <c r="BI84" s="2358"/>
      <c r="BJ84" s="2358"/>
      <c r="BK84" s="2359"/>
      <c r="BL84" s="2357"/>
      <c r="BM84" s="2358"/>
      <c r="BN84" s="2358"/>
      <c r="BO84" s="2358"/>
      <c r="BP84" s="2358"/>
      <c r="BQ84" s="2358"/>
      <c r="BR84" s="2359"/>
      <c r="BS84" s="2357"/>
      <c r="BT84" s="2358"/>
      <c r="BU84" s="2358"/>
      <c r="BV84" s="2358"/>
      <c r="BW84" s="2358"/>
      <c r="BX84" s="2358"/>
      <c r="BY84" s="2359"/>
      <c r="BZ84" s="2357"/>
      <c r="CA84" s="2358"/>
      <c r="CB84" s="2358"/>
      <c r="CC84" s="2358"/>
      <c r="CD84" s="2358"/>
      <c r="CE84" s="2358"/>
      <c r="CF84" s="2359"/>
      <c r="CG84" s="2357"/>
      <c r="CH84" s="2358"/>
      <c r="CI84" s="2358"/>
      <c r="CJ84" s="2358"/>
      <c r="CK84" s="2358"/>
      <c r="CL84" s="2358"/>
      <c r="CM84" s="4495"/>
      <c r="CN84" s="2362"/>
      <c r="CO84" s="1265" t="s">
        <v>644</v>
      </c>
      <c r="CP84" s="1649"/>
      <c r="CQ84" s="1631"/>
      <c r="CR84" s="1631" t="str">
        <f>IF(T84="","",T84)</f>
        <v>Наименование признака дифференциации</v>
      </c>
      <c r="CS84" s="1631"/>
      <c r="CT84" s="1631"/>
      <c r="CU84" s="1642">
        <v>0</v>
      </c>
    </row>
    <row s="1857" customFormat="1" customHeight="1" ht="23.25">
      <c r="A85" s="1370"/>
      <c r="B85" s="1370"/>
      <c r="C85" s="1370"/>
      <c r="D85" s="1370"/>
      <c r="E85" s="2266"/>
      <c r="F85" s="2266" t="s">
        <v>91</v>
      </c>
      <c r="G85" s="2266"/>
      <c r="H85" s="2266"/>
      <c r="I85" s="2293"/>
      <c r="J85" s="2263" t="str">
        <f>I84&amp;".1"</f>
        <v>1.5.1.1.1</v>
      </c>
      <c r="K85" s="1370"/>
      <c r="L85" s="1376" t="s">
        <v>569</v>
      </c>
      <c r="M85" s="1783"/>
      <c r="N85" s="1783"/>
      <c r="O85" s="1783"/>
      <c r="P85" s="2381"/>
      <c r="Q85" s="2381">
        <v>1</v>
      </c>
      <c r="R85" s="364"/>
      <c r="S85" s="2280" t="str">
        <f>$J85</f>
        <v>1.5.1.1.1</v>
      </c>
      <c r="T85" s="293" t="s">
        <v>570</v>
      </c>
      <c r="U85" s="307"/>
      <c r="V85" s="2252"/>
      <c r="W85" s="2253"/>
      <c r="X85" s="2253"/>
      <c r="Y85" s="2253"/>
      <c r="Z85" s="2253"/>
      <c r="AA85" s="2253"/>
      <c r="AB85" s="2254"/>
      <c r="AC85" s="2252" t="s">
        <v>656</v>
      </c>
      <c r="AD85" s="2253"/>
      <c r="AE85" s="2253"/>
      <c r="AF85" s="2253"/>
      <c r="AG85" s="2253"/>
      <c r="AH85" s="2253"/>
      <c r="AI85" s="2253"/>
      <c r="AJ85" s="2252"/>
      <c r="AK85" s="2253"/>
      <c r="AL85" s="2253"/>
      <c r="AM85" s="2253"/>
      <c r="AN85" s="2253"/>
      <c r="AO85" s="2253"/>
      <c r="AP85" s="2254"/>
      <c r="AQ85" s="2252"/>
      <c r="AR85" s="2253"/>
      <c r="AS85" s="2253"/>
      <c r="AT85" s="2253"/>
      <c r="AU85" s="2253"/>
      <c r="AV85" s="2253"/>
      <c r="AW85" s="2254"/>
      <c r="AX85" s="2252"/>
      <c r="AY85" s="2253"/>
      <c r="AZ85" s="2253"/>
      <c r="BA85" s="2253"/>
      <c r="BB85" s="2253"/>
      <c r="BC85" s="2253"/>
      <c r="BD85" s="2254"/>
      <c r="BE85" s="2252"/>
      <c r="BF85" s="2253"/>
      <c r="BG85" s="2253"/>
      <c r="BH85" s="2253"/>
      <c r="BI85" s="2253"/>
      <c r="BJ85" s="2253"/>
      <c r="BK85" s="2254"/>
      <c r="BL85" s="2252"/>
      <c r="BM85" s="2253"/>
      <c r="BN85" s="2253"/>
      <c r="BO85" s="2253"/>
      <c r="BP85" s="2253"/>
      <c r="BQ85" s="2253"/>
      <c r="BR85" s="2254"/>
      <c r="BS85" s="2252"/>
      <c r="BT85" s="2253"/>
      <c r="BU85" s="2253"/>
      <c r="BV85" s="2253"/>
      <c r="BW85" s="2253"/>
      <c r="BX85" s="2253"/>
      <c r="BY85" s="2254"/>
      <c r="BZ85" s="2252"/>
      <c r="CA85" s="2253"/>
      <c r="CB85" s="2253"/>
      <c r="CC85" s="2253"/>
      <c r="CD85" s="2253"/>
      <c r="CE85" s="2253"/>
      <c r="CF85" s="2254"/>
      <c r="CG85" s="2252"/>
      <c r="CH85" s="2253"/>
      <c r="CI85" s="2253"/>
      <c r="CJ85" s="2253"/>
      <c r="CK85" s="2253"/>
      <c r="CL85" s="2253"/>
      <c r="CM85" s="4498"/>
      <c r="CN85" s="2254"/>
      <c r="CO85" s="1314" t="s">
        <v>645</v>
      </c>
      <c r="CP85" s="1649"/>
      <c r="CQ85" s="1631"/>
      <c r="CR85" s="1631" t="str">
        <f>IF(T85="","",T85)</f>
        <v>Группа потребителей</v>
      </c>
      <c r="CS85" s="1631"/>
      <c r="CT85" s="1631"/>
      <c r="CU85" s="1642">
        <v>0</v>
      </c>
    </row>
    <row s="1857" customFormat="1" customHeight="1" ht="23.25">
      <c r="A86" s="1370"/>
      <c r="B86" s="1370"/>
      <c r="C86" s="1370"/>
      <c r="D86" s="1370"/>
      <c r="E86" s="2266"/>
      <c r="F86" s="2266" t="s">
        <v>91</v>
      </c>
      <c r="G86" s="2266"/>
      <c r="H86" s="2266"/>
      <c r="I86" s="2293"/>
      <c r="J86" s="2293"/>
      <c r="K86" s="2263" t="str">
        <f>J85&amp;".1"</f>
        <v>1.5.1.1.1.1</v>
      </c>
      <c r="L86" s="1376"/>
      <c r="M86" s="1783"/>
      <c r="N86" s="1783"/>
      <c r="O86" s="1783"/>
      <c r="P86" s="2381"/>
      <c r="Q86" s="2381"/>
      <c r="R86" s="364">
        <v>1</v>
      </c>
      <c r="S86" s="2280" t="str">
        <f>$K86</f>
        <v>1.5.1.1.1.1</v>
      </c>
      <c r="T86" s="1444" t="s">
        <v>657</v>
      </c>
      <c r="U86" s="307"/>
      <c r="V86" s="758"/>
      <c r="W86" s="758"/>
      <c r="X86" s="1264"/>
      <c r="Y86" s="2609"/>
      <c r="Z86" s="2114" t="s">
        <v>66</v>
      </c>
      <c r="AA86" s="2609"/>
      <c r="AB86" s="2114" t="s">
        <v>66</v>
      </c>
      <c r="AC86" s="758">
        <v>35.8</v>
      </c>
      <c r="AD86" s="758"/>
      <c r="AE86" s="1264"/>
      <c r="AF86" s="2609">
        <v>44896</v>
      </c>
      <c r="AG86" s="2114" t="s">
        <v>66</v>
      </c>
      <c r="AH86" s="2294">
        <v>45291</v>
      </c>
      <c r="AI86" s="2114" t="s">
        <v>66</v>
      </c>
      <c r="AJ86" s="758">
        <v>35.8</v>
      </c>
      <c r="AK86" s="758"/>
      <c r="AL86" s="1264"/>
      <c r="AM86" s="2609">
        <v>45292</v>
      </c>
      <c r="AN86" s="2114" t="s">
        <v>66</v>
      </c>
      <c r="AO86" s="2609">
        <v>45473</v>
      </c>
      <c r="AP86" s="2114" t="s">
        <v>66</v>
      </c>
      <c r="AQ86" s="758">
        <v>40.8</v>
      </c>
      <c r="AR86" s="758"/>
      <c r="AS86" s="1264"/>
      <c r="AT86" s="2609">
        <v>45474</v>
      </c>
      <c r="AU86" s="2114" t="s">
        <v>66</v>
      </c>
      <c r="AV86" s="2609">
        <v>45657</v>
      </c>
      <c r="AW86" s="2114" t="s">
        <v>66</v>
      </c>
      <c r="AX86" s="758">
        <v>40.8</v>
      </c>
      <c r="AY86" s="758"/>
      <c r="AZ86" s="1264"/>
      <c r="BA86" s="2609">
        <v>45658</v>
      </c>
      <c r="BB86" s="2114" t="s">
        <v>66</v>
      </c>
      <c r="BC86" s="2609">
        <v>45838</v>
      </c>
      <c r="BD86" s="2114" t="s">
        <v>66</v>
      </c>
      <c r="BE86" s="758">
        <v>72.4</v>
      </c>
      <c r="BF86" s="758"/>
      <c r="BG86" s="1264"/>
      <c r="BH86" s="2609">
        <v>45839</v>
      </c>
      <c r="BI86" s="2114" t="s">
        <v>66</v>
      </c>
      <c r="BJ86" s="2609">
        <v>46022</v>
      </c>
      <c r="BK86" s="2114" t="s">
        <v>66</v>
      </c>
      <c r="BL86" s="758">
        <v>38.73</v>
      </c>
      <c r="BM86" s="758"/>
      <c r="BN86" s="1264"/>
      <c r="BO86" s="2609">
        <v>46023</v>
      </c>
      <c r="BP86" s="2114" t="s">
        <v>66</v>
      </c>
      <c r="BQ86" s="2609">
        <v>46203</v>
      </c>
      <c r="BR86" s="2114" t="s">
        <v>66</v>
      </c>
      <c r="BS86" s="758">
        <v>41.52</v>
      </c>
      <c r="BT86" s="758"/>
      <c r="BU86" s="1264"/>
      <c r="BV86" s="2609">
        <v>46204</v>
      </c>
      <c r="BW86" s="2114" t="s">
        <v>66</v>
      </c>
      <c r="BX86" s="2609">
        <v>46387</v>
      </c>
      <c r="BY86" s="2114" t="s">
        <v>66</v>
      </c>
      <c r="BZ86" s="758">
        <v>41.52</v>
      </c>
      <c r="CA86" s="758"/>
      <c r="CB86" s="1264"/>
      <c r="CC86" s="2609">
        <v>46388</v>
      </c>
      <c r="CD86" s="2114" t="s">
        <v>66</v>
      </c>
      <c r="CE86" s="2609">
        <v>46568</v>
      </c>
      <c r="CF86" s="2114" t="s">
        <v>66</v>
      </c>
      <c r="CG86" s="758">
        <v>41.63</v>
      </c>
      <c r="CH86" s="758"/>
      <c r="CI86" s="1264"/>
      <c r="CJ86" s="2609">
        <v>46569</v>
      </c>
      <c r="CK86" s="2114" t="s">
        <v>66</v>
      </c>
      <c r="CL86" s="2609">
        <v>46752</v>
      </c>
      <c r="CM86" s="2114" t="s">
        <v>66</v>
      </c>
      <c r="CN86" s="1445"/>
      <c r="CO8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86" s="1649">
        <f>STRCHECKDATE(V87:CN87)</f>
      </c>
      <c r="CQ86" s="1631"/>
      <c r="CR86" s="1631" t="str">
        <f>IF(T86="","",T86)</f>
        <v>Тариф по водоснабжению без НДС</v>
      </c>
      <c r="CS86" s="1631"/>
      <c r="CT86" s="1631"/>
      <c r="CU86" s="1642">
        <v>0</v>
      </c>
    </row>
    <row s="1857" customFormat="1" customHeight="1" ht="14.25">
      <c r="A87" s="1370"/>
      <c r="B87" s="1370"/>
      <c r="C87" s="1370"/>
      <c r="D87" s="1370"/>
      <c r="E87" s="2266"/>
      <c r="F87" s="2266" t="s">
        <v>91</v>
      </c>
      <c r="G87" s="2266"/>
      <c r="H87" s="2266"/>
      <c r="I87" s="2293"/>
      <c r="J87" s="2293"/>
      <c r="K87" s="2263"/>
      <c r="L87" s="1376"/>
      <c r="M87" s="1783"/>
      <c r="N87" s="1783"/>
      <c r="O87" s="1783"/>
      <c r="P87" s="2381"/>
      <c r="Q87" s="2381"/>
      <c r="R87" s="364"/>
      <c r="S87" s="2520"/>
      <c r="T87" s="307"/>
      <c r="U87" s="307"/>
      <c r="V87" s="332"/>
      <c r="W87" s="332"/>
      <c r="X87" s="335" t="str">
        <f>Y86&amp;"-"&amp;AA86</f>
        <v>-</v>
      </c>
      <c r="Y87" s="2316"/>
      <c r="Z87" s="2114"/>
      <c r="AA87" s="2316"/>
      <c r="AB87" s="2114"/>
      <c r="AC87" s="332"/>
      <c r="AD87" s="332"/>
      <c r="AE87" s="335" t="str">
        <f>AF86&amp;"-"&amp;AH86</f>
        <v>44896-45291</v>
      </c>
      <c r="AF87" s="2316"/>
      <c r="AG87" s="2114"/>
      <c r="AH87" s="2295"/>
      <c r="AI87" s="2114"/>
      <c r="AJ87" s="332"/>
      <c r="AK87" s="332"/>
      <c r="AL87" s="335" t="str">
        <f>AM86&amp;"-"&amp;AO86</f>
        <v>45292-45473</v>
      </c>
      <c r="AM87" s="2316"/>
      <c r="AN87" s="2114"/>
      <c r="AO87" s="2316"/>
      <c r="AP87" s="2114"/>
      <c r="AQ87" s="332"/>
      <c r="AR87" s="332"/>
      <c r="AS87" s="335" t="str">
        <f>AT86&amp;"-"&amp;AV86</f>
        <v>45474-45657</v>
      </c>
      <c r="AT87" s="2316"/>
      <c r="AU87" s="2114"/>
      <c r="AV87" s="2316"/>
      <c r="AW87" s="2114"/>
      <c r="AX87" s="332"/>
      <c r="AY87" s="332"/>
      <c r="AZ87" s="335" t="str">
        <f>BA86&amp;"-"&amp;BC86</f>
        <v>45658-45838</v>
      </c>
      <c r="BA87" s="2316"/>
      <c r="BB87" s="2114"/>
      <c r="BC87" s="2316"/>
      <c r="BD87" s="2114"/>
      <c r="BE87" s="332"/>
      <c r="BF87" s="332"/>
      <c r="BG87" s="335" t="str">
        <f>BH86&amp;"-"&amp;BJ86</f>
        <v>45839-46022</v>
      </c>
      <c r="BH87" s="2316"/>
      <c r="BI87" s="2114"/>
      <c r="BJ87" s="2316"/>
      <c r="BK87" s="2114"/>
      <c r="BL87" s="332"/>
      <c r="BM87" s="332"/>
      <c r="BN87" s="335" t="str">
        <f>BO86&amp;"-"&amp;BQ86</f>
        <v>46023-46203</v>
      </c>
      <c r="BO87" s="2316"/>
      <c r="BP87" s="2114"/>
      <c r="BQ87" s="2316"/>
      <c r="BR87" s="2114"/>
      <c r="BS87" s="332"/>
      <c r="BT87" s="332"/>
      <c r="BU87" s="335" t="str">
        <f>BV86&amp;"-"&amp;BX86</f>
        <v>46204-46387</v>
      </c>
      <c r="BV87" s="2316"/>
      <c r="BW87" s="2114"/>
      <c r="BX87" s="2316"/>
      <c r="BY87" s="2114"/>
      <c r="BZ87" s="332"/>
      <c r="CA87" s="332"/>
      <c r="CB87" s="335" t="str">
        <f>CC86&amp;"-"&amp;CE86</f>
        <v>46388-46568</v>
      </c>
      <c r="CC87" s="2316"/>
      <c r="CD87" s="2114"/>
      <c r="CE87" s="2316"/>
      <c r="CF87" s="2114"/>
      <c r="CG87" s="332"/>
      <c r="CH87" s="332"/>
      <c r="CI87" s="335" t="str">
        <f>CJ86&amp;"-"&amp;CL86</f>
        <v>46569-46752</v>
      </c>
      <c r="CJ87" s="2316"/>
      <c r="CK87" s="2114"/>
      <c r="CL87" s="2316"/>
      <c r="CM87" s="2114"/>
      <c r="CN87" s="1446"/>
      <c r="CO87" s="2356"/>
      <c r="CP87" s="1649"/>
      <c r="CQ87" s="1631"/>
      <c r="CR87" s="1631" t="str">
        <f>IF(T87="","",T87)</f>
        <v/>
      </c>
      <c r="CS87" s="1631"/>
      <c r="CT87" s="1631"/>
      <c r="CU87" s="1642">
        <v>0</v>
      </c>
    </row>
    <row s="1857" customFormat="1" customHeight="1" ht="21">
      <c r="A88" s="1370"/>
      <c r="B88" s="1370"/>
      <c r="C88" s="1370"/>
      <c r="D88" s="1370"/>
      <c r="E88" s="2266"/>
      <c r="F88" s="2266" t="s">
        <v>91</v>
      </c>
      <c r="G88" s="2266"/>
      <c r="H88" s="2266"/>
      <c r="I88" s="2293"/>
      <c r="J88" s="2263"/>
      <c r="K88" s="1370"/>
      <c r="L88" s="1376"/>
      <c r="M88" s="1783"/>
      <c r="N88" s="1783"/>
      <c r="O88" s="1783"/>
      <c r="P88" s="2381"/>
      <c r="Q88" s="2381"/>
      <c r="R88" s="363"/>
      <c r="S88" s="3024"/>
      <c r="T88" s="3025" t="s">
        <v>646</v>
      </c>
      <c r="U88" s="3026"/>
      <c r="V88" s="3027"/>
      <c r="W88" s="3028"/>
      <c r="X88" s="3029"/>
      <c r="Y88" s="3030"/>
      <c r="Z88" s="3031"/>
      <c r="AA88" s="3032"/>
      <c r="AB88" s="3033"/>
      <c r="AC88" s="3034"/>
      <c r="AD88" s="3035"/>
      <c r="AE88" s="3036"/>
      <c r="AF88" s="3037"/>
      <c r="AG88" s="3038"/>
      <c r="AH88" s="3039"/>
      <c r="AI88" s="3040"/>
      <c r="AJ88" s="9834"/>
      <c r="AK88" s="9835"/>
      <c r="AL88" s="9836"/>
      <c r="AM88" s="9837"/>
      <c r="AN88" s="9838"/>
      <c r="AO88" s="9839"/>
      <c r="AP88" s="9840"/>
      <c r="AQ88" s="9841"/>
      <c r="AR88" s="9842"/>
      <c r="AS88" s="9843"/>
      <c r="AT88" s="9844"/>
      <c r="AU88" s="9845"/>
      <c r="AV88" s="9846"/>
      <c r="AW88" s="9847"/>
      <c r="AX88" s="9848"/>
      <c r="AY88" s="9849"/>
      <c r="AZ88" s="9850"/>
      <c r="BA88" s="9851"/>
      <c r="BB88" s="9852"/>
      <c r="BC88" s="9853"/>
      <c r="BD88" s="9854"/>
      <c r="BE88" s="9855"/>
      <c r="BF88" s="9856"/>
      <c r="BG88" s="9857"/>
      <c r="BH88" s="9858"/>
      <c r="BI88" s="9859"/>
      <c r="BJ88" s="9860"/>
      <c r="BK88" s="9861"/>
      <c r="BL88" s="9862"/>
      <c r="BM88" s="9863"/>
      <c r="BN88" s="9864"/>
      <c r="BO88" s="9865"/>
      <c r="BP88" s="9866"/>
      <c r="BQ88" s="9867"/>
      <c r="BR88" s="9868"/>
      <c r="BS88" s="9869"/>
      <c r="BT88" s="9870"/>
      <c r="BU88" s="9871"/>
      <c r="BV88" s="9872"/>
      <c r="BW88" s="9873"/>
      <c r="BX88" s="9874"/>
      <c r="BY88" s="9875"/>
      <c r="BZ88" s="9876"/>
      <c r="CA88" s="9877"/>
      <c r="CB88" s="9878"/>
      <c r="CC88" s="9879"/>
      <c r="CD88" s="9880"/>
      <c r="CE88" s="9881"/>
      <c r="CF88" s="9882"/>
      <c r="CG88" s="9883"/>
      <c r="CH88" s="9884"/>
      <c r="CI88" s="9885"/>
      <c r="CJ88" s="9886"/>
      <c r="CK88" s="9887"/>
      <c r="CL88" s="9888"/>
      <c r="CM88" s="12706"/>
      <c r="CN88" s="3048"/>
      <c r="CO88" s="1265" t="s">
        <v>647</v>
      </c>
      <c r="CP88" s="1649"/>
      <c r="CQ88" s="1631"/>
      <c r="CR88" s="1631" t="str">
        <f>IF(T88="","",T88)</f>
        <v>Добавить значение признака дифференциации</v>
      </c>
      <c r="CS88" s="1631"/>
      <c r="CT88" s="1631"/>
      <c r="CU88" s="1642">
        <v>0</v>
      </c>
    </row>
    <row s="1857" customFormat="1" customHeight="1" ht="21">
      <c r="A89" s="1370"/>
      <c r="B89" s="1370"/>
      <c r="C89" s="1370"/>
      <c r="D89" s="1370"/>
      <c r="E89" s="2266"/>
      <c r="F89" s="2266" t="s">
        <v>91</v>
      </c>
      <c r="G89" s="2266"/>
      <c r="H89" s="2266"/>
      <c r="I89" s="2263"/>
      <c r="J89" s="1370"/>
      <c r="K89" s="1370"/>
      <c r="L89" s="1376"/>
      <c r="M89" s="1783"/>
      <c r="N89" s="1783"/>
      <c r="O89" s="1783"/>
      <c r="P89" s="2381"/>
      <c r="Q89" s="2381"/>
      <c r="R89" s="363"/>
      <c r="S89" s="3049"/>
      <c r="T89" s="3050" t="s">
        <v>575</v>
      </c>
      <c r="U89" s="3051"/>
      <c r="V89" s="3052"/>
      <c r="W89" s="3053"/>
      <c r="X89" s="3054"/>
      <c r="Y89" s="3055"/>
      <c r="Z89" s="3056"/>
      <c r="AA89" s="3057"/>
      <c r="AB89" s="3058"/>
      <c r="AC89" s="3059"/>
      <c r="AD89" s="3060"/>
      <c r="AE89" s="3061"/>
      <c r="AF89" s="3062"/>
      <c r="AG89" s="3063"/>
      <c r="AH89" s="3064"/>
      <c r="AI89" s="3065"/>
      <c r="AJ89" s="9890"/>
      <c r="AK89" s="9891"/>
      <c r="AL89" s="9892"/>
      <c r="AM89" s="9893"/>
      <c r="AN89" s="9894"/>
      <c r="AO89" s="9895"/>
      <c r="AP89" s="9896"/>
      <c r="AQ89" s="9897"/>
      <c r="AR89" s="9898"/>
      <c r="AS89" s="9899"/>
      <c r="AT89" s="9900"/>
      <c r="AU89" s="9901"/>
      <c r="AV89" s="9902"/>
      <c r="AW89" s="9903"/>
      <c r="AX89" s="9904"/>
      <c r="AY89" s="9905"/>
      <c r="AZ89" s="9906"/>
      <c r="BA89" s="9907"/>
      <c r="BB89" s="9908"/>
      <c r="BC89" s="9909"/>
      <c r="BD89" s="9910"/>
      <c r="BE89" s="9911"/>
      <c r="BF89" s="9912"/>
      <c r="BG89" s="9913"/>
      <c r="BH89" s="9914"/>
      <c r="BI89" s="9915"/>
      <c r="BJ89" s="9916"/>
      <c r="BK89" s="9917"/>
      <c r="BL89" s="9918"/>
      <c r="BM89" s="9919"/>
      <c r="BN89" s="9920"/>
      <c r="BO89" s="9921"/>
      <c r="BP89" s="9922"/>
      <c r="BQ89" s="9923"/>
      <c r="BR89" s="9924"/>
      <c r="BS89" s="9925"/>
      <c r="BT89" s="9926"/>
      <c r="BU89" s="9927"/>
      <c r="BV89" s="9928"/>
      <c r="BW89" s="9929"/>
      <c r="BX89" s="9930"/>
      <c r="BY89" s="9931"/>
      <c r="BZ89" s="9932"/>
      <c r="CA89" s="9933"/>
      <c r="CB89" s="9934"/>
      <c r="CC89" s="9935"/>
      <c r="CD89" s="9936"/>
      <c r="CE89" s="9937"/>
      <c r="CF89" s="9938"/>
      <c r="CG89" s="9939"/>
      <c r="CH89" s="9940"/>
      <c r="CI89" s="9941"/>
      <c r="CJ89" s="9942"/>
      <c r="CK89" s="9943"/>
      <c r="CL89" s="9944"/>
      <c r="CM89" s="12707"/>
      <c r="CN89" s="3073"/>
      <c r="CO89" s="3074"/>
      <c r="CP89" s="1649"/>
      <c r="CQ89" s="1631"/>
      <c r="CR89" s="1631" t="str">
        <f>IF(T89="","",T89)</f>
        <v>Добавить группу потребителей</v>
      </c>
      <c r="CS89" s="1631"/>
      <c r="CT89" s="1631"/>
      <c r="CU89" s="1642">
        <v>0</v>
      </c>
    </row>
    <row s="1857" customFormat="1" customHeight="1" ht="14.25">
      <c r="A90" s="1370"/>
      <c r="B90" s="1370"/>
      <c r="C90" s="1370"/>
      <c r="D90" s="1370"/>
      <c r="E90" s="2266"/>
      <c r="F90" s="2266" t="s">
        <v>91</v>
      </c>
      <c r="G90" s="2266"/>
      <c r="H90" s="2265"/>
      <c r="I90" s="1370"/>
      <c r="J90" s="1370"/>
      <c r="K90" s="1370"/>
      <c r="L90" s="1376"/>
      <c r="M90" s="1372"/>
      <c r="N90" s="1372"/>
      <c r="O90" s="1373"/>
      <c r="P90" s="1830"/>
      <c r="Q90" s="382"/>
      <c r="R90" s="362"/>
      <c r="S90" s="3075"/>
      <c r="T90" s="3076" t="s">
        <v>648</v>
      </c>
      <c r="U90" s="3077"/>
      <c r="V90" s="3078"/>
      <c r="W90" s="3079"/>
      <c r="X90" s="3080"/>
      <c r="Y90" s="3081"/>
      <c r="Z90" s="3082"/>
      <c r="AA90" s="3083"/>
      <c r="AB90" s="3084"/>
      <c r="AC90" s="3085"/>
      <c r="AD90" s="3086"/>
      <c r="AE90" s="3087"/>
      <c r="AF90" s="3088"/>
      <c r="AG90" s="3089"/>
      <c r="AH90" s="3090"/>
      <c r="AI90" s="3091"/>
      <c r="AJ90" s="9946"/>
      <c r="AK90" s="9947"/>
      <c r="AL90" s="9948"/>
      <c r="AM90" s="9949"/>
      <c r="AN90" s="9950"/>
      <c r="AO90" s="9951"/>
      <c r="AP90" s="9952"/>
      <c r="AQ90" s="9953"/>
      <c r="AR90" s="9954"/>
      <c r="AS90" s="9955"/>
      <c r="AT90" s="9956"/>
      <c r="AU90" s="9957"/>
      <c r="AV90" s="9958"/>
      <c r="AW90" s="9959"/>
      <c r="AX90" s="9960"/>
      <c r="AY90" s="9961"/>
      <c r="AZ90" s="9962"/>
      <c r="BA90" s="9963"/>
      <c r="BB90" s="9964"/>
      <c r="BC90" s="9965"/>
      <c r="BD90" s="9966"/>
      <c r="BE90" s="9967"/>
      <c r="BF90" s="9968"/>
      <c r="BG90" s="9969"/>
      <c r="BH90" s="9970"/>
      <c r="BI90" s="9971"/>
      <c r="BJ90" s="9972"/>
      <c r="BK90" s="9973"/>
      <c r="BL90" s="9974"/>
      <c r="BM90" s="9975"/>
      <c r="BN90" s="9976"/>
      <c r="BO90" s="9977"/>
      <c r="BP90" s="9978"/>
      <c r="BQ90" s="9979"/>
      <c r="BR90" s="9980"/>
      <c r="BS90" s="9981"/>
      <c r="BT90" s="9982"/>
      <c r="BU90" s="9983"/>
      <c r="BV90" s="9984"/>
      <c r="BW90" s="9985"/>
      <c r="BX90" s="9986"/>
      <c r="BY90" s="9987"/>
      <c r="BZ90" s="9988"/>
      <c r="CA90" s="9989"/>
      <c r="CB90" s="9990"/>
      <c r="CC90" s="9991"/>
      <c r="CD90" s="9992"/>
      <c r="CE90" s="9993"/>
      <c r="CF90" s="9994"/>
      <c r="CG90" s="9995"/>
      <c r="CH90" s="9996"/>
      <c r="CI90" s="9997"/>
      <c r="CJ90" s="9998"/>
      <c r="CK90" s="9999"/>
      <c r="CL90" s="10000"/>
      <c r="CM90" s="12708"/>
      <c r="CN90" s="3099"/>
      <c r="CO90" s="3100"/>
      <c r="CP90" s="1649"/>
      <c r="CQ90" s="1631"/>
      <c r="CR90" s="1631" t="str">
        <f>IF(T90="","",T90)</f>
        <v>Добавить наименование признака дифференциации</v>
      </c>
      <c r="CS90" s="1631"/>
      <c r="CT90" s="1631"/>
      <c r="CU90" s="1642">
        <v>0</v>
      </c>
    </row>
    <row s="629" customFormat="1" customHeight="1" ht="14.25">
      <c r="A91" s="1350"/>
      <c r="B91" s="1350"/>
      <c r="C91" s="1350"/>
      <c r="D91" s="1350"/>
      <c r="E91" s="2266"/>
      <c r="F91" s="2265" t="s">
        <v>91</v>
      </c>
      <c r="G91" s="1350"/>
      <c r="H91" s="1350"/>
      <c r="I91" s="1350"/>
      <c r="J91" s="1350"/>
      <c r="K91" s="1350"/>
      <c r="L91" s="1552"/>
      <c r="M91" s="1328"/>
      <c r="N91" s="1328"/>
      <c r="O91" s="1649"/>
      <c r="P91" s="1323"/>
      <c r="Q91" s="1351"/>
      <c r="R91" s="1323"/>
      <c r="S91" s="1329"/>
      <c r="T91" s="1332" t="s">
        <v>316</v>
      </c>
      <c r="U91" s="1331"/>
      <c r="V91" s="1331"/>
      <c r="W91" s="1331"/>
      <c r="X91" s="1331"/>
      <c r="Y91" s="1331"/>
      <c r="Z91" s="1331"/>
      <c r="AA91" s="1331"/>
      <c r="AB91" s="1331"/>
      <c r="AC91" s="1331"/>
      <c r="AD91" s="1331"/>
      <c r="AE91" s="1331"/>
      <c r="AF91" s="1331"/>
      <c r="AG91" s="1331"/>
      <c r="AH91" s="1331"/>
      <c r="AI91" s="1331"/>
      <c r="AJ91" s="1331"/>
      <c r="AK91" s="1331"/>
      <c r="AL91" s="1331"/>
      <c r="AM91" s="1331"/>
      <c r="AN91" s="1331"/>
      <c r="AO91" s="1331"/>
      <c r="AP91" s="1331"/>
      <c r="AQ91" s="1331"/>
      <c r="AR91" s="1331"/>
      <c r="AS91" s="1331"/>
      <c r="AT91" s="1331"/>
      <c r="AU91" s="1331"/>
      <c r="AV91" s="1331"/>
      <c r="AW91" s="1331"/>
      <c r="AX91" s="1331"/>
      <c r="AY91" s="1331"/>
      <c r="AZ91" s="1331"/>
      <c r="BA91" s="1331"/>
      <c r="BB91" s="1331"/>
      <c r="BC91" s="1331"/>
      <c r="BD91" s="1331"/>
      <c r="BE91" s="1331"/>
      <c r="BF91" s="1331"/>
      <c r="BG91" s="1331"/>
      <c r="BH91" s="1331"/>
      <c r="BI91" s="1331"/>
      <c r="BJ91" s="1331"/>
      <c r="BK91" s="1331"/>
      <c r="BL91" s="1331"/>
      <c r="BM91" s="1331"/>
      <c r="BN91" s="1331"/>
      <c r="BO91" s="1331"/>
      <c r="BP91" s="1331"/>
      <c r="BQ91" s="1331"/>
      <c r="BR91" s="1331"/>
      <c r="BS91" s="1331"/>
      <c r="BT91" s="1331"/>
      <c r="BU91" s="1331"/>
      <c r="BV91" s="1331"/>
      <c r="BW91" s="1331"/>
      <c r="BX91" s="1331"/>
      <c r="BY91" s="1331"/>
      <c r="BZ91" s="1331"/>
      <c r="CA91" s="1331"/>
      <c r="CB91" s="1331"/>
      <c r="CC91" s="1331"/>
      <c r="CD91" s="1331"/>
      <c r="CE91" s="1331"/>
      <c r="CF91" s="1331"/>
      <c r="CG91" s="1331"/>
      <c r="CH91" s="1331"/>
      <c r="CI91" s="1331"/>
      <c r="CJ91" s="1331"/>
      <c r="CK91" s="1331"/>
      <c r="CL91" s="1331"/>
      <c r="CM91" s="1331"/>
      <c r="CN91" s="1331"/>
      <c r="CO91" s="1331"/>
      <c r="CP91" s="1649"/>
      <c r="CQ91" s="1631"/>
      <c r="CR91" s="1631" t="str">
        <f>IF(T91="","",T91)</f>
        <v>Добавить централизованную систему для дифференциации</v>
      </c>
      <c r="CS91" s="1631"/>
      <c r="CT91" s="1631"/>
      <c r="CU91" s="1649">
        <v>0</v>
      </c>
    </row>
    <row s="1857" customFormat="1" customHeight="1" ht="23.25">
      <c r="A92" s="1370"/>
      <c r="B92" s="1370" t="s">
        <v>333</v>
      </c>
      <c r="C92" s="1370"/>
      <c r="D92" s="1370"/>
      <c r="E92" s="2266"/>
      <c r="F92" s="2265" t="s">
        <v>92</v>
      </c>
      <c r="G92" s="1370"/>
      <c r="H92" s="1370"/>
      <c r="I92" s="1370"/>
      <c r="J92" s="1370"/>
      <c r="K92" s="1370"/>
      <c r="L92" s="1376"/>
      <c r="M92" s="1372"/>
      <c r="N92" s="1372"/>
      <c r="O92" s="1372"/>
      <c r="P92" s="2132"/>
      <c r="Q92" s="359"/>
      <c r="R92" s="360"/>
      <c r="S92" s="2280" t="str">
        <f>INDEX(PT_DIFFERENTIATION_NUM_TER,MATCH(B92,PT_DIFFERENTIATION_TER_ID,0))</f>
        <v>1.6</v>
      </c>
      <c r="T92" s="1529" t="s">
        <v>560</v>
      </c>
      <c r="U92" s="307"/>
      <c r="V92" s="2249"/>
      <c r="W92" s="2250"/>
      <c r="X92" s="2250"/>
      <c r="Y92" s="2250"/>
      <c r="Z92" s="2250"/>
      <c r="AA92" s="2250"/>
      <c r="AB92" s="2251"/>
      <c r="AC92" s="2249" t="str">
        <f>INDEX(PT_DIFFERENTIATION_TER,MATCH(B92,PT_DIFFERENTIATION_TER_ID,0))</f>
        <v>Территория 6</v>
      </c>
      <c r="AD92" s="2250"/>
      <c r="AE92" s="2250"/>
      <c r="AF92" s="2250"/>
      <c r="AG92" s="2250"/>
      <c r="AH92" s="2250"/>
      <c r="AI92" s="2250"/>
      <c r="AJ92" s="2249"/>
      <c r="AK92" s="2250"/>
      <c r="AL92" s="2250"/>
      <c r="AM92" s="2250"/>
      <c r="AN92" s="2250"/>
      <c r="AO92" s="2250"/>
      <c r="AP92" s="2251"/>
      <c r="AQ92" s="2249"/>
      <c r="AR92" s="2250"/>
      <c r="AS92" s="2250"/>
      <c r="AT92" s="2250"/>
      <c r="AU92" s="2250"/>
      <c r="AV92" s="2250"/>
      <c r="AW92" s="2251"/>
      <c r="AX92" s="2249"/>
      <c r="AY92" s="2250"/>
      <c r="AZ92" s="2250"/>
      <c r="BA92" s="2250"/>
      <c r="BB92" s="2250"/>
      <c r="BC92" s="2250"/>
      <c r="BD92" s="2251"/>
      <c r="BE92" s="2249"/>
      <c r="BF92" s="2250"/>
      <c r="BG92" s="2250"/>
      <c r="BH92" s="2250"/>
      <c r="BI92" s="2250"/>
      <c r="BJ92" s="2250"/>
      <c r="BK92" s="2251"/>
      <c r="BL92" s="2249"/>
      <c r="BM92" s="2250"/>
      <c r="BN92" s="2250"/>
      <c r="BO92" s="2250"/>
      <c r="BP92" s="2250"/>
      <c r="BQ92" s="2250"/>
      <c r="BR92" s="2251"/>
      <c r="BS92" s="2249"/>
      <c r="BT92" s="2250"/>
      <c r="BU92" s="2250"/>
      <c r="BV92" s="2250"/>
      <c r="BW92" s="2250"/>
      <c r="BX92" s="2250"/>
      <c r="BY92" s="2251"/>
      <c r="BZ92" s="2249"/>
      <c r="CA92" s="2250"/>
      <c r="CB92" s="2250"/>
      <c r="CC92" s="2250"/>
      <c r="CD92" s="2250"/>
      <c r="CE92" s="2250"/>
      <c r="CF92" s="2251"/>
      <c r="CG92" s="2249"/>
      <c r="CH92" s="2250"/>
      <c r="CI92" s="2250"/>
      <c r="CJ92" s="2250"/>
      <c r="CK92" s="2250"/>
      <c r="CL92" s="2250"/>
      <c r="CM92" s="4492"/>
      <c r="CN92" s="2251"/>
      <c r="CO92" s="1265" t="s">
        <v>561</v>
      </c>
      <c r="CP92" s="1649"/>
      <c r="CQ92" s="1631"/>
      <c r="CR92" s="1631" t="str">
        <f>IF(T92="","",T92)</f>
        <v>Территория действия тарифа</v>
      </c>
      <c r="CS92" s="1631"/>
      <c r="CT92" s="1631"/>
      <c r="CU92" s="1642">
        <v>0</v>
      </c>
    </row>
    <row s="1857" customFormat="1" customHeight="1" ht="23.25">
      <c r="A93" s="1370"/>
      <c r="B93" s="1370"/>
      <c r="C93" s="1370" t="s">
        <v>334</v>
      </c>
      <c r="D93" s="1370"/>
      <c r="E93" s="2266"/>
      <c r="F93" s="2266" t="s">
        <v>119</v>
      </c>
      <c r="G93" s="2265">
        <v>1</v>
      </c>
      <c r="H93" s="1370"/>
      <c r="I93" s="1370"/>
      <c r="J93" s="1370"/>
      <c r="K93" s="1370"/>
      <c r="L93" s="1376"/>
      <c r="M93" s="1372"/>
      <c r="N93" s="1372"/>
      <c r="O93" s="1372"/>
      <c r="P93" s="361"/>
      <c r="Q93" s="359"/>
      <c r="R93" s="360"/>
      <c r="S93" s="2280" t="str">
        <f>INDEX(PT_DIFFERENTIATION_NUM_CS,MATCH(C93,PT_DIFFERENTIATION_CS_ID,0))</f>
        <v>1.6.1</v>
      </c>
      <c r="T93" s="316" t="s">
        <v>641</v>
      </c>
      <c r="U93" s="307"/>
      <c r="V93" s="2249"/>
      <c r="W93" s="2250"/>
      <c r="X93" s="2250"/>
      <c r="Y93" s="2250"/>
      <c r="Z93" s="2250"/>
      <c r="AA93" s="2250"/>
      <c r="AB93" s="2251"/>
      <c r="AC93" s="2249" t="str">
        <f>INDEX(PT_DIFFERENTIATION_CS,MATCH(C93,PT_DIFFERENTIATION_CS_ID,0))</f>
        <v>Волоконовский район</v>
      </c>
      <c r="AD93" s="2250"/>
      <c r="AE93" s="2250"/>
      <c r="AF93" s="2250"/>
      <c r="AG93" s="2250"/>
      <c r="AH93" s="2250"/>
      <c r="AI93" s="2250"/>
      <c r="AJ93" s="2249"/>
      <c r="AK93" s="2250"/>
      <c r="AL93" s="2250"/>
      <c r="AM93" s="2250"/>
      <c r="AN93" s="2250"/>
      <c r="AO93" s="2250"/>
      <c r="AP93" s="2251"/>
      <c r="AQ93" s="2249"/>
      <c r="AR93" s="2250"/>
      <c r="AS93" s="2250"/>
      <c r="AT93" s="2250"/>
      <c r="AU93" s="2250"/>
      <c r="AV93" s="2250"/>
      <c r="AW93" s="2251"/>
      <c r="AX93" s="2249"/>
      <c r="AY93" s="2250"/>
      <c r="AZ93" s="2250"/>
      <c r="BA93" s="2250"/>
      <c r="BB93" s="2250"/>
      <c r="BC93" s="2250"/>
      <c r="BD93" s="2251"/>
      <c r="BE93" s="2249"/>
      <c r="BF93" s="2250"/>
      <c r="BG93" s="2250"/>
      <c r="BH93" s="2250"/>
      <c r="BI93" s="2250"/>
      <c r="BJ93" s="2250"/>
      <c r="BK93" s="2251"/>
      <c r="BL93" s="2249"/>
      <c r="BM93" s="2250"/>
      <c r="BN93" s="2250"/>
      <c r="BO93" s="2250"/>
      <c r="BP93" s="2250"/>
      <c r="BQ93" s="2250"/>
      <c r="BR93" s="2251"/>
      <c r="BS93" s="2249"/>
      <c r="BT93" s="2250"/>
      <c r="BU93" s="2250"/>
      <c r="BV93" s="2250"/>
      <c r="BW93" s="2250"/>
      <c r="BX93" s="2250"/>
      <c r="BY93" s="2251"/>
      <c r="BZ93" s="2249"/>
      <c r="CA93" s="2250"/>
      <c r="CB93" s="2250"/>
      <c r="CC93" s="2250"/>
      <c r="CD93" s="2250"/>
      <c r="CE93" s="2250"/>
      <c r="CF93" s="2251"/>
      <c r="CG93" s="2249"/>
      <c r="CH93" s="2250"/>
      <c r="CI93" s="2250"/>
      <c r="CJ93" s="2250"/>
      <c r="CK93" s="2250"/>
      <c r="CL93" s="2250"/>
      <c r="CM93" s="4492"/>
      <c r="CN93" s="2251"/>
      <c r="CO93" s="1265" t="s">
        <v>642</v>
      </c>
      <c r="CP93" s="1649"/>
      <c r="CQ93" s="1631"/>
      <c r="CR93" s="1631" t="str">
        <f>IF(T93="","",T93)</f>
        <v>Наименование централизованной системы холодного водоснабжения</v>
      </c>
      <c r="CS93" s="1631"/>
      <c r="CT93" s="1631"/>
      <c r="CU93" s="1642">
        <v>0</v>
      </c>
    </row>
    <row s="1857" customFormat="1" customHeight="1" ht="23.25">
      <c r="A94" s="1370"/>
      <c r="B94" s="1370"/>
      <c r="C94" s="1370"/>
      <c r="D94" s="1370"/>
      <c r="E94" s="2266"/>
      <c r="F94" s="2266" t="s">
        <v>119</v>
      </c>
      <c r="G94" s="2266"/>
      <c r="H94" s="2266"/>
      <c r="I94" s="2263" t="str">
        <f>S93&amp;".1"</f>
        <v>1.6.1.1</v>
      </c>
      <c r="J94" s="1370"/>
      <c r="K94" s="1370"/>
      <c r="L94" s="1376"/>
      <c r="M94" s="1783"/>
      <c r="N94" s="1783"/>
      <c r="O94" s="1783"/>
      <c r="P94" s="2381">
        <v>1</v>
      </c>
      <c r="Q94" s="2381"/>
      <c r="R94" s="363"/>
      <c r="S94" s="2280" t="str">
        <f>$I94</f>
        <v>1.6.1.1</v>
      </c>
      <c r="T94" s="292" t="s">
        <v>643</v>
      </c>
      <c r="U94" s="307"/>
      <c r="V94" s="2357"/>
      <c r="W94" s="2358"/>
      <c r="X94" s="2358"/>
      <c r="Y94" s="2358"/>
      <c r="Z94" s="2358"/>
      <c r="AA94" s="2358"/>
      <c r="AB94" s="2359"/>
      <c r="AC94" s="2360" t="s">
        <v>332</v>
      </c>
      <c r="AD94" s="2361"/>
      <c r="AE94" s="2361"/>
      <c r="AF94" s="2361"/>
      <c r="AG94" s="2361"/>
      <c r="AH94" s="2361"/>
      <c r="AI94" s="2361"/>
      <c r="AJ94" s="2357"/>
      <c r="AK94" s="2358"/>
      <c r="AL94" s="2358"/>
      <c r="AM94" s="2358"/>
      <c r="AN94" s="2358"/>
      <c r="AO94" s="2358"/>
      <c r="AP94" s="2359"/>
      <c r="AQ94" s="2357"/>
      <c r="AR94" s="2358"/>
      <c r="AS94" s="2358"/>
      <c r="AT94" s="2358"/>
      <c r="AU94" s="2358"/>
      <c r="AV94" s="2358"/>
      <c r="AW94" s="2359"/>
      <c r="AX94" s="2357"/>
      <c r="AY94" s="2358"/>
      <c r="AZ94" s="2358"/>
      <c r="BA94" s="2358"/>
      <c r="BB94" s="2358"/>
      <c r="BC94" s="2358"/>
      <c r="BD94" s="2359"/>
      <c r="BE94" s="2357"/>
      <c r="BF94" s="2358"/>
      <c r="BG94" s="2358"/>
      <c r="BH94" s="2358"/>
      <c r="BI94" s="2358"/>
      <c r="BJ94" s="2358"/>
      <c r="BK94" s="2359"/>
      <c r="BL94" s="2357"/>
      <c r="BM94" s="2358"/>
      <c r="BN94" s="2358"/>
      <c r="BO94" s="2358"/>
      <c r="BP94" s="2358"/>
      <c r="BQ94" s="2358"/>
      <c r="BR94" s="2359"/>
      <c r="BS94" s="2357"/>
      <c r="BT94" s="2358"/>
      <c r="BU94" s="2358"/>
      <c r="BV94" s="2358"/>
      <c r="BW94" s="2358"/>
      <c r="BX94" s="2358"/>
      <c r="BY94" s="2359"/>
      <c r="BZ94" s="2357"/>
      <c r="CA94" s="2358"/>
      <c r="CB94" s="2358"/>
      <c r="CC94" s="2358"/>
      <c r="CD94" s="2358"/>
      <c r="CE94" s="2358"/>
      <c r="CF94" s="2359"/>
      <c r="CG94" s="2357"/>
      <c r="CH94" s="2358"/>
      <c r="CI94" s="2358"/>
      <c r="CJ94" s="2358"/>
      <c r="CK94" s="2358"/>
      <c r="CL94" s="2358"/>
      <c r="CM94" s="4495"/>
      <c r="CN94" s="2362"/>
      <c r="CO94" s="1265" t="s">
        <v>644</v>
      </c>
      <c r="CP94" s="1649"/>
      <c r="CQ94" s="1631"/>
      <c r="CR94" s="1631" t="str">
        <f>IF(T94="","",T94)</f>
        <v>Наименование признака дифференциации</v>
      </c>
      <c r="CS94" s="1631"/>
      <c r="CT94" s="1631"/>
      <c r="CU94" s="1642">
        <v>0</v>
      </c>
    </row>
    <row s="1857" customFormat="1" customHeight="1" ht="23.25">
      <c r="A95" s="1370"/>
      <c r="B95" s="1370"/>
      <c r="C95" s="1370"/>
      <c r="D95" s="1370"/>
      <c r="E95" s="2266"/>
      <c r="F95" s="2266" t="s">
        <v>119</v>
      </c>
      <c r="G95" s="2266"/>
      <c r="H95" s="2266"/>
      <c r="I95" s="2293"/>
      <c r="J95" s="2263" t="str">
        <f>I94&amp;".1"</f>
        <v>1.6.1.1.1</v>
      </c>
      <c r="K95" s="1370"/>
      <c r="L95" s="1376" t="s">
        <v>569</v>
      </c>
      <c r="M95" s="1783"/>
      <c r="N95" s="1783"/>
      <c r="O95" s="1783"/>
      <c r="P95" s="2381"/>
      <c r="Q95" s="2381">
        <v>1</v>
      </c>
      <c r="R95" s="364"/>
      <c r="S95" s="2280" t="str">
        <f>$J95</f>
        <v>1.6.1.1.1</v>
      </c>
      <c r="T95" s="293" t="s">
        <v>570</v>
      </c>
      <c r="U95" s="307"/>
      <c r="V95" s="2252"/>
      <c r="W95" s="2253"/>
      <c r="X95" s="2253"/>
      <c r="Y95" s="2253"/>
      <c r="Z95" s="2253"/>
      <c r="AA95" s="2253"/>
      <c r="AB95" s="2254"/>
      <c r="AC95" s="2252" t="s">
        <v>656</v>
      </c>
      <c r="AD95" s="2253"/>
      <c r="AE95" s="2253"/>
      <c r="AF95" s="2253"/>
      <c r="AG95" s="2253"/>
      <c r="AH95" s="2253"/>
      <c r="AI95" s="2253"/>
      <c r="AJ95" s="2252"/>
      <c r="AK95" s="2253"/>
      <c r="AL95" s="2253"/>
      <c r="AM95" s="2253"/>
      <c r="AN95" s="2253"/>
      <c r="AO95" s="2253"/>
      <c r="AP95" s="2254"/>
      <c r="AQ95" s="2252"/>
      <c r="AR95" s="2253"/>
      <c r="AS95" s="2253"/>
      <c r="AT95" s="2253"/>
      <c r="AU95" s="2253"/>
      <c r="AV95" s="2253"/>
      <c r="AW95" s="2254"/>
      <c r="AX95" s="2252"/>
      <c r="AY95" s="2253"/>
      <c r="AZ95" s="2253"/>
      <c r="BA95" s="2253"/>
      <c r="BB95" s="2253"/>
      <c r="BC95" s="2253"/>
      <c r="BD95" s="2254"/>
      <c r="BE95" s="2252"/>
      <c r="BF95" s="2253"/>
      <c r="BG95" s="2253"/>
      <c r="BH95" s="2253"/>
      <c r="BI95" s="2253"/>
      <c r="BJ95" s="2253"/>
      <c r="BK95" s="2254"/>
      <c r="BL95" s="2252"/>
      <c r="BM95" s="2253"/>
      <c r="BN95" s="2253"/>
      <c r="BO95" s="2253"/>
      <c r="BP95" s="2253"/>
      <c r="BQ95" s="2253"/>
      <c r="BR95" s="2254"/>
      <c r="BS95" s="2252"/>
      <c r="BT95" s="2253"/>
      <c r="BU95" s="2253"/>
      <c r="BV95" s="2253"/>
      <c r="BW95" s="2253"/>
      <c r="BX95" s="2253"/>
      <c r="BY95" s="2254"/>
      <c r="BZ95" s="2252"/>
      <c r="CA95" s="2253"/>
      <c r="CB95" s="2253"/>
      <c r="CC95" s="2253"/>
      <c r="CD95" s="2253"/>
      <c r="CE95" s="2253"/>
      <c r="CF95" s="2254"/>
      <c r="CG95" s="2252"/>
      <c r="CH95" s="2253"/>
      <c r="CI95" s="2253"/>
      <c r="CJ95" s="2253"/>
      <c r="CK95" s="2253"/>
      <c r="CL95" s="2253"/>
      <c r="CM95" s="4498"/>
      <c r="CN95" s="2254"/>
      <c r="CO95" s="1314" t="s">
        <v>645</v>
      </c>
      <c r="CP95" s="1649"/>
      <c r="CQ95" s="1631"/>
      <c r="CR95" s="1631" t="str">
        <f>IF(T95="","",T95)</f>
        <v>Группа потребителей</v>
      </c>
      <c r="CS95" s="1631"/>
      <c r="CT95" s="1631"/>
      <c r="CU95" s="1642">
        <v>0</v>
      </c>
    </row>
    <row s="1857" customFormat="1" customHeight="1" ht="23.25">
      <c r="A96" s="1370"/>
      <c r="B96" s="1370"/>
      <c r="C96" s="1370"/>
      <c r="D96" s="1370"/>
      <c r="E96" s="2266"/>
      <c r="F96" s="2266" t="s">
        <v>119</v>
      </c>
      <c r="G96" s="2266"/>
      <c r="H96" s="2266"/>
      <c r="I96" s="2293"/>
      <c r="J96" s="2293"/>
      <c r="K96" s="2263" t="str">
        <f>J95&amp;".1"</f>
        <v>1.6.1.1.1.1</v>
      </c>
      <c r="L96" s="1376"/>
      <c r="M96" s="1783"/>
      <c r="N96" s="1783"/>
      <c r="O96" s="1783"/>
      <c r="P96" s="2381"/>
      <c r="Q96" s="2381"/>
      <c r="R96" s="364">
        <v>1</v>
      </c>
      <c r="S96" s="2280" t="str">
        <f>$K96</f>
        <v>1.6.1.1.1.1</v>
      </c>
      <c r="T96" s="1444" t="s">
        <v>657</v>
      </c>
      <c r="U96" s="307"/>
      <c r="V96" s="758"/>
      <c r="W96" s="758"/>
      <c r="X96" s="1264"/>
      <c r="Y96" s="2609"/>
      <c r="Z96" s="2114" t="s">
        <v>66</v>
      </c>
      <c r="AA96" s="2609"/>
      <c r="AB96" s="2114" t="s">
        <v>66</v>
      </c>
      <c r="AC96" s="758">
        <v>20.66</v>
      </c>
      <c r="AD96" s="758"/>
      <c r="AE96" s="1264"/>
      <c r="AF96" s="2609">
        <v>44896</v>
      </c>
      <c r="AG96" s="2114" t="s">
        <v>66</v>
      </c>
      <c r="AH96" s="2294">
        <v>45291</v>
      </c>
      <c r="AI96" s="2114" t="s">
        <v>66</v>
      </c>
      <c r="AJ96" s="758">
        <v>20.66</v>
      </c>
      <c r="AK96" s="758"/>
      <c r="AL96" s="1264"/>
      <c r="AM96" s="2609">
        <v>45292</v>
      </c>
      <c r="AN96" s="2114" t="s">
        <v>66</v>
      </c>
      <c r="AO96" s="2609">
        <v>45473</v>
      </c>
      <c r="AP96" s="2114" t="s">
        <v>66</v>
      </c>
      <c r="AQ96" s="758">
        <v>22.92</v>
      </c>
      <c r="AR96" s="758"/>
      <c r="AS96" s="1264"/>
      <c r="AT96" s="2609">
        <v>45474</v>
      </c>
      <c r="AU96" s="2114" t="s">
        <v>66</v>
      </c>
      <c r="AV96" s="2609">
        <v>45657</v>
      </c>
      <c r="AW96" s="2114" t="s">
        <v>66</v>
      </c>
      <c r="AX96" s="758">
        <v>22.92</v>
      </c>
      <c r="AY96" s="758"/>
      <c r="AZ96" s="1264"/>
      <c r="BA96" s="2609">
        <v>45658</v>
      </c>
      <c r="BB96" s="2114" t="s">
        <v>66</v>
      </c>
      <c r="BC96" s="2609">
        <v>45838</v>
      </c>
      <c r="BD96" s="2114" t="s">
        <v>66</v>
      </c>
      <c r="BE96" s="758">
        <v>83.11</v>
      </c>
      <c r="BF96" s="758"/>
      <c r="BG96" s="1264"/>
      <c r="BH96" s="2609">
        <v>45839</v>
      </c>
      <c r="BI96" s="2114" t="s">
        <v>66</v>
      </c>
      <c r="BJ96" s="2609">
        <v>46022</v>
      </c>
      <c r="BK96" s="2114" t="s">
        <v>66</v>
      </c>
      <c r="BL96" s="758">
        <v>22.18</v>
      </c>
      <c r="BM96" s="758"/>
      <c r="BN96" s="1264"/>
      <c r="BO96" s="2609">
        <v>46023</v>
      </c>
      <c r="BP96" s="2114" t="s">
        <v>66</v>
      </c>
      <c r="BQ96" s="2609">
        <v>46203</v>
      </c>
      <c r="BR96" s="2114" t="s">
        <v>66</v>
      </c>
      <c r="BS96" s="758">
        <v>23.6</v>
      </c>
      <c r="BT96" s="758"/>
      <c r="BU96" s="1264"/>
      <c r="BV96" s="2609">
        <v>46204</v>
      </c>
      <c r="BW96" s="2114" t="s">
        <v>66</v>
      </c>
      <c r="BX96" s="2609">
        <v>46387</v>
      </c>
      <c r="BY96" s="2114" t="s">
        <v>66</v>
      </c>
      <c r="BZ96" s="758">
        <v>23.6</v>
      </c>
      <c r="CA96" s="758"/>
      <c r="CB96" s="1264"/>
      <c r="CC96" s="2609">
        <v>46388</v>
      </c>
      <c r="CD96" s="2114" t="s">
        <v>66</v>
      </c>
      <c r="CE96" s="2609">
        <v>46568</v>
      </c>
      <c r="CF96" s="2114" t="s">
        <v>66</v>
      </c>
      <c r="CG96" s="758">
        <v>23.65</v>
      </c>
      <c r="CH96" s="758"/>
      <c r="CI96" s="1264"/>
      <c r="CJ96" s="2609">
        <v>46569</v>
      </c>
      <c r="CK96" s="2114" t="s">
        <v>66</v>
      </c>
      <c r="CL96" s="2609">
        <v>46752</v>
      </c>
      <c r="CM96" s="2114" t="s">
        <v>66</v>
      </c>
      <c r="CN96" s="1445"/>
      <c r="CO9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96" s="1649">
        <f>STRCHECKDATE(V97:CN97)</f>
      </c>
      <c r="CQ96" s="1631"/>
      <c r="CR96" s="1631" t="str">
        <f>IF(T96="","",T96)</f>
        <v>Тариф по водоснабжению без НДС</v>
      </c>
      <c r="CS96" s="1631"/>
      <c r="CT96" s="1631"/>
      <c r="CU96" s="1642">
        <v>0</v>
      </c>
    </row>
    <row s="1857" customFormat="1" customHeight="1" ht="14.25">
      <c r="A97" s="1370"/>
      <c r="B97" s="1370"/>
      <c r="C97" s="1370"/>
      <c r="D97" s="1370"/>
      <c r="E97" s="2266"/>
      <c r="F97" s="2266" t="s">
        <v>119</v>
      </c>
      <c r="G97" s="2266"/>
      <c r="H97" s="2266"/>
      <c r="I97" s="2293"/>
      <c r="J97" s="2293"/>
      <c r="K97" s="2263"/>
      <c r="L97" s="1376"/>
      <c r="M97" s="1783"/>
      <c r="N97" s="1783"/>
      <c r="O97" s="1783"/>
      <c r="P97" s="2381"/>
      <c r="Q97" s="2381"/>
      <c r="R97" s="364"/>
      <c r="S97" s="2520"/>
      <c r="T97" s="307"/>
      <c r="U97" s="307"/>
      <c r="V97" s="332"/>
      <c r="W97" s="332"/>
      <c r="X97" s="335" t="str">
        <f>Y96&amp;"-"&amp;AA96</f>
        <v>-</v>
      </c>
      <c r="Y97" s="2316"/>
      <c r="Z97" s="2114"/>
      <c r="AA97" s="2316"/>
      <c r="AB97" s="2114"/>
      <c r="AC97" s="332"/>
      <c r="AD97" s="332"/>
      <c r="AE97" s="335" t="str">
        <f>AF96&amp;"-"&amp;AH96</f>
        <v>44896-45291</v>
      </c>
      <c r="AF97" s="2316"/>
      <c r="AG97" s="2114"/>
      <c r="AH97" s="2295"/>
      <c r="AI97" s="2114"/>
      <c r="AJ97" s="332"/>
      <c r="AK97" s="332"/>
      <c r="AL97" s="335" t="str">
        <f>AM96&amp;"-"&amp;AO96</f>
        <v>45292-45473</v>
      </c>
      <c r="AM97" s="2316"/>
      <c r="AN97" s="2114"/>
      <c r="AO97" s="2316"/>
      <c r="AP97" s="2114"/>
      <c r="AQ97" s="332"/>
      <c r="AR97" s="332"/>
      <c r="AS97" s="335" t="str">
        <f>AT96&amp;"-"&amp;AV96</f>
        <v>45474-45657</v>
      </c>
      <c r="AT97" s="2316"/>
      <c r="AU97" s="2114"/>
      <c r="AV97" s="2316"/>
      <c r="AW97" s="2114"/>
      <c r="AX97" s="332"/>
      <c r="AY97" s="332"/>
      <c r="AZ97" s="335" t="str">
        <f>BA96&amp;"-"&amp;BC96</f>
        <v>45658-45838</v>
      </c>
      <c r="BA97" s="2316"/>
      <c r="BB97" s="2114"/>
      <c r="BC97" s="2316"/>
      <c r="BD97" s="2114"/>
      <c r="BE97" s="332"/>
      <c r="BF97" s="332"/>
      <c r="BG97" s="335" t="str">
        <f>BH96&amp;"-"&amp;BJ96</f>
        <v>45839-46022</v>
      </c>
      <c r="BH97" s="2316"/>
      <c r="BI97" s="2114"/>
      <c r="BJ97" s="2316"/>
      <c r="BK97" s="2114"/>
      <c r="BL97" s="332"/>
      <c r="BM97" s="332"/>
      <c r="BN97" s="335" t="str">
        <f>BO96&amp;"-"&amp;BQ96</f>
        <v>46023-46203</v>
      </c>
      <c r="BO97" s="2316"/>
      <c r="BP97" s="2114"/>
      <c r="BQ97" s="2316"/>
      <c r="BR97" s="2114"/>
      <c r="BS97" s="332"/>
      <c r="BT97" s="332"/>
      <c r="BU97" s="335" t="str">
        <f>BV96&amp;"-"&amp;BX96</f>
        <v>46204-46387</v>
      </c>
      <c r="BV97" s="2316"/>
      <c r="BW97" s="2114"/>
      <c r="BX97" s="2316"/>
      <c r="BY97" s="2114"/>
      <c r="BZ97" s="332"/>
      <c r="CA97" s="332"/>
      <c r="CB97" s="335" t="str">
        <f>CC96&amp;"-"&amp;CE96</f>
        <v>46388-46568</v>
      </c>
      <c r="CC97" s="2316"/>
      <c r="CD97" s="2114"/>
      <c r="CE97" s="2316"/>
      <c r="CF97" s="2114"/>
      <c r="CG97" s="332"/>
      <c r="CH97" s="332"/>
      <c r="CI97" s="335" t="str">
        <f>CJ96&amp;"-"&amp;CL96</f>
        <v>46569-46752</v>
      </c>
      <c r="CJ97" s="2316"/>
      <c r="CK97" s="2114"/>
      <c r="CL97" s="2316"/>
      <c r="CM97" s="2114"/>
      <c r="CN97" s="1446"/>
      <c r="CO97" s="2356"/>
      <c r="CP97" s="1649"/>
      <c r="CQ97" s="1631"/>
      <c r="CR97" s="1631" t="str">
        <f>IF(T97="","",T97)</f>
        <v/>
      </c>
      <c r="CS97" s="1631"/>
      <c r="CT97" s="1631"/>
      <c r="CU97" s="1642">
        <v>0</v>
      </c>
    </row>
    <row s="1857" customFormat="1" customHeight="1" ht="21">
      <c r="A98" s="1370"/>
      <c r="B98" s="1370"/>
      <c r="C98" s="1370"/>
      <c r="D98" s="1370"/>
      <c r="E98" s="2266"/>
      <c r="F98" s="2266" t="s">
        <v>119</v>
      </c>
      <c r="G98" s="2266"/>
      <c r="H98" s="2266"/>
      <c r="I98" s="2293"/>
      <c r="J98" s="2263"/>
      <c r="K98" s="1370"/>
      <c r="L98" s="1376"/>
      <c r="M98" s="1783"/>
      <c r="N98" s="1783"/>
      <c r="O98" s="1783"/>
      <c r="P98" s="2381"/>
      <c r="Q98" s="2381"/>
      <c r="R98" s="363"/>
      <c r="S98" s="3101"/>
      <c r="T98" s="3102" t="s">
        <v>646</v>
      </c>
      <c r="U98" s="3103"/>
      <c r="V98" s="3104"/>
      <c r="W98" s="3105"/>
      <c r="X98" s="3106"/>
      <c r="Y98" s="3107"/>
      <c r="Z98" s="3108"/>
      <c r="AA98" s="3109"/>
      <c r="AB98" s="3110"/>
      <c r="AC98" s="3111"/>
      <c r="AD98" s="3112"/>
      <c r="AE98" s="3113"/>
      <c r="AF98" s="3114"/>
      <c r="AG98" s="3115"/>
      <c r="AH98" s="3116"/>
      <c r="AI98" s="3117"/>
      <c r="AJ98" s="10002"/>
      <c r="AK98" s="10003"/>
      <c r="AL98" s="10004"/>
      <c r="AM98" s="10005"/>
      <c r="AN98" s="10006"/>
      <c r="AO98" s="10007"/>
      <c r="AP98" s="10008"/>
      <c r="AQ98" s="10009"/>
      <c r="AR98" s="10010"/>
      <c r="AS98" s="10011"/>
      <c r="AT98" s="10012"/>
      <c r="AU98" s="10013"/>
      <c r="AV98" s="10014"/>
      <c r="AW98" s="10015"/>
      <c r="AX98" s="10016"/>
      <c r="AY98" s="10017"/>
      <c r="AZ98" s="10018"/>
      <c r="BA98" s="10019"/>
      <c r="BB98" s="10020"/>
      <c r="BC98" s="10021"/>
      <c r="BD98" s="10022"/>
      <c r="BE98" s="10023"/>
      <c r="BF98" s="10024"/>
      <c r="BG98" s="10025"/>
      <c r="BH98" s="10026"/>
      <c r="BI98" s="10027"/>
      <c r="BJ98" s="10028"/>
      <c r="BK98" s="10029"/>
      <c r="BL98" s="10030"/>
      <c r="BM98" s="10031"/>
      <c r="BN98" s="10032"/>
      <c r="BO98" s="10033"/>
      <c r="BP98" s="10034"/>
      <c r="BQ98" s="10035"/>
      <c r="BR98" s="10036"/>
      <c r="BS98" s="10037"/>
      <c r="BT98" s="10038"/>
      <c r="BU98" s="10039"/>
      <c r="BV98" s="10040"/>
      <c r="BW98" s="10041"/>
      <c r="BX98" s="10042"/>
      <c r="BY98" s="10043"/>
      <c r="BZ98" s="10044"/>
      <c r="CA98" s="10045"/>
      <c r="CB98" s="10046"/>
      <c r="CC98" s="10047"/>
      <c r="CD98" s="10048"/>
      <c r="CE98" s="10049"/>
      <c r="CF98" s="10050"/>
      <c r="CG98" s="10051"/>
      <c r="CH98" s="10052"/>
      <c r="CI98" s="10053"/>
      <c r="CJ98" s="10054"/>
      <c r="CK98" s="10055"/>
      <c r="CL98" s="10056"/>
      <c r="CM98" s="12709"/>
      <c r="CN98" s="3125"/>
      <c r="CO98" s="1265" t="s">
        <v>647</v>
      </c>
      <c r="CP98" s="1649"/>
      <c r="CQ98" s="1631"/>
      <c r="CR98" s="1631" t="str">
        <f>IF(T98="","",T98)</f>
        <v>Добавить значение признака дифференциации</v>
      </c>
      <c r="CS98" s="1631"/>
      <c r="CT98" s="1631"/>
      <c r="CU98" s="1642">
        <v>0</v>
      </c>
    </row>
    <row s="1857" customFormat="1" customHeight="1" ht="21">
      <c r="A99" s="1370"/>
      <c r="B99" s="1370"/>
      <c r="C99" s="1370"/>
      <c r="D99" s="1370"/>
      <c r="E99" s="2266"/>
      <c r="F99" s="2266" t="s">
        <v>119</v>
      </c>
      <c r="G99" s="2266"/>
      <c r="H99" s="2266"/>
      <c r="I99" s="2263"/>
      <c r="J99" s="1370"/>
      <c r="K99" s="1370"/>
      <c r="L99" s="1376"/>
      <c r="M99" s="1783"/>
      <c r="N99" s="1783"/>
      <c r="O99" s="1783"/>
      <c r="P99" s="2381"/>
      <c r="Q99" s="2381"/>
      <c r="R99" s="363"/>
      <c r="S99" s="3126"/>
      <c r="T99" s="3127" t="s">
        <v>575</v>
      </c>
      <c r="U99" s="3128"/>
      <c r="V99" s="3129"/>
      <c r="W99" s="3130"/>
      <c r="X99" s="3131"/>
      <c r="Y99" s="3132"/>
      <c r="Z99" s="3133"/>
      <c r="AA99" s="3134"/>
      <c r="AB99" s="3135"/>
      <c r="AC99" s="3136"/>
      <c r="AD99" s="3137"/>
      <c r="AE99" s="3138"/>
      <c r="AF99" s="3139"/>
      <c r="AG99" s="3140"/>
      <c r="AH99" s="3141"/>
      <c r="AI99" s="3142"/>
      <c r="AJ99" s="10058"/>
      <c r="AK99" s="10059"/>
      <c r="AL99" s="10060"/>
      <c r="AM99" s="10061"/>
      <c r="AN99" s="10062"/>
      <c r="AO99" s="10063"/>
      <c r="AP99" s="10064"/>
      <c r="AQ99" s="10065"/>
      <c r="AR99" s="10066"/>
      <c r="AS99" s="10067"/>
      <c r="AT99" s="10068"/>
      <c r="AU99" s="10069"/>
      <c r="AV99" s="10070"/>
      <c r="AW99" s="10071"/>
      <c r="AX99" s="10072"/>
      <c r="AY99" s="10073"/>
      <c r="AZ99" s="10074"/>
      <c r="BA99" s="10075"/>
      <c r="BB99" s="10076"/>
      <c r="BC99" s="10077"/>
      <c r="BD99" s="10078"/>
      <c r="BE99" s="10079"/>
      <c r="BF99" s="10080"/>
      <c r="BG99" s="10081"/>
      <c r="BH99" s="10082"/>
      <c r="BI99" s="10083"/>
      <c r="BJ99" s="10084"/>
      <c r="BK99" s="10085"/>
      <c r="BL99" s="10086"/>
      <c r="BM99" s="10087"/>
      <c r="BN99" s="10088"/>
      <c r="BO99" s="10089"/>
      <c r="BP99" s="10090"/>
      <c r="BQ99" s="10091"/>
      <c r="BR99" s="10092"/>
      <c r="BS99" s="10093"/>
      <c r="BT99" s="10094"/>
      <c r="BU99" s="10095"/>
      <c r="BV99" s="10096"/>
      <c r="BW99" s="10097"/>
      <c r="BX99" s="10098"/>
      <c r="BY99" s="10099"/>
      <c r="BZ99" s="10100"/>
      <c r="CA99" s="10101"/>
      <c r="CB99" s="10102"/>
      <c r="CC99" s="10103"/>
      <c r="CD99" s="10104"/>
      <c r="CE99" s="10105"/>
      <c r="CF99" s="10106"/>
      <c r="CG99" s="10107"/>
      <c r="CH99" s="10108"/>
      <c r="CI99" s="10109"/>
      <c r="CJ99" s="10110"/>
      <c r="CK99" s="10111"/>
      <c r="CL99" s="10112"/>
      <c r="CM99" s="12710"/>
      <c r="CN99" s="3150"/>
      <c r="CO99" s="3151"/>
      <c r="CP99" s="1649"/>
      <c r="CQ99" s="1631"/>
      <c r="CR99" s="1631" t="str">
        <f>IF(T99="","",T99)</f>
        <v>Добавить группу потребителей</v>
      </c>
      <c r="CS99" s="1631"/>
      <c r="CT99" s="1631"/>
      <c r="CU99" s="1642">
        <v>0</v>
      </c>
    </row>
    <row s="1857" customFormat="1" customHeight="1" ht="14.25">
      <c r="A100" s="1370"/>
      <c r="B100" s="1370"/>
      <c r="C100" s="1370"/>
      <c r="D100" s="1370"/>
      <c r="E100" s="2266"/>
      <c r="F100" s="2266" t="s">
        <v>119</v>
      </c>
      <c r="G100" s="2266"/>
      <c r="H100" s="2265"/>
      <c r="I100" s="1370"/>
      <c r="J100" s="1370"/>
      <c r="K100" s="1370"/>
      <c r="L100" s="1376"/>
      <c r="M100" s="1372"/>
      <c r="N100" s="1372"/>
      <c r="O100" s="1373"/>
      <c r="P100" s="1830"/>
      <c r="Q100" s="382"/>
      <c r="R100" s="362"/>
      <c r="S100" s="3152"/>
      <c r="T100" s="3153" t="s">
        <v>648</v>
      </c>
      <c r="U100" s="3154"/>
      <c r="V100" s="3155"/>
      <c r="W100" s="3156"/>
      <c r="X100" s="3157"/>
      <c r="Y100" s="3158"/>
      <c r="Z100" s="3159"/>
      <c r="AA100" s="3160"/>
      <c r="AB100" s="3161"/>
      <c r="AC100" s="3162"/>
      <c r="AD100" s="3163"/>
      <c r="AE100" s="3164"/>
      <c r="AF100" s="3165"/>
      <c r="AG100" s="3166"/>
      <c r="AH100" s="3167"/>
      <c r="AI100" s="3168"/>
      <c r="AJ100" s="10114"/>
      <c r="AK100" s="10115"/>
      <c r="AL100" s="10116"/>
      <c r="AM100" s="10117"/>
      <c r="AN100" s="10118"/>
      <c r="AO100" s="10119"/>
      <c r="AP100" s="10120"/>
      <c r="AQ100" s="10121"/>
      <c r="AR100" s="10122"/>
      <c r="AS100" s="10123"/>
      <c r="AT100" s="10124"/>
      <c r="AU100" s="10125"/>
      <c r="AV100" s="10126"/>
      <c r="AW100" s="10127"/>
      <c r="AX100" s="10128"/>
      <c r="AY100" s="10129"/>
      <c r="AZ100" s="10130"/>
      <c r="BA100" s="10131"/>
      <c r="BB100" s="10132"/>
      <c r="BC100" s="10133"/>
      <c r="BD100" s="10134"/>
      <c r="BE100" s="10135"/>
      <c r="BF100" s="10136"/>
      <c r="BG100" s="10137"/>
      <c r="BH100" s="10138"/>
      <c r="BI100" s="10139"/>
      <c r="BJ100" s="10140"/>
      <c r="BK100" s="10141"/>
      <c r="BL100" s="10142"/>
      <c r="BM100" s="10143"/>
      <c r="BN100" s="10144"/>
      <c r="BO100" s="10145"/>
      <c r="BP100" s="10146"/>
      <c r="BQ100" s="10147"/>
      <c r="BR100" s="10148"/>
      <c r="BS100" s="10149"/>
      <c r="BT100" s="10150"/>
      <c r="BU100" s="10151"/>
      <c r="BV100" s="10152"/>
      <c r="BW100" s="10153"/>
      <c r="BX100" s="10154"/>
      <c r="BY100" s="10155"/>
      <c r="BZ100" s="10156"/>
      <c r="CA100" s="10157"/>
      <c r="CB100" s="10158"/>
      <c r="CC100" s="10159"/>
      <c r="CD100" s="10160"/>
      <c r="CE100" s="10161"/>
      <c r="CF100" s="10162"/>
      <c r="CG100" s="10163"/>
      <c r="CH100" s="10164"/>
      <c r="CI100" s="10165"/>
      <c r="CJ100" s="10166"/>
      <c r="CK100" s="10167"/>
      <c r="CL100" s="10168"/>
      <c r="CM100" s="12711"/>
      <c r="CN100" s="3176"/>
      <c r="CO100" s="3177"/>
      <c r="CP100" s="1649"/>
      <c r="CQ100" s="1631"/>
      <c r="CR100" s="1631" t="str">
        <f>IF(T100="","",T100)</f>
        <v>Добавить наименование признака дифференциации</v>
      </c>
      <c r="CS100" s="1631"/>
      <c r="CT100" s="1631"/>
      <c r="CU100" s="1642">
        <v>0</v>
      </c>
    </row>
    <row s="629" customFormat="1" customHeight="1" ht="14.25">
      <c r="A101" s="1350"/>
      <c r="B101" s="1350"/>
      <c r="C101" s="1350"/>
      <c r="D101" s="1350"/>
      <c r="E101" s="2266"/>
      <c r="F101" s="2265" t="s">
        <v>119</v>
      </c>
      <c r="G101" s="1350"/>
      <c r="H101" s="1350"/>
      <c r="I101" s="1350"/>
      <c r="J101" s="1350"/>
      <c r="K101" s="1350"/>
      <c r="L101" s="1552"/>
      <c r="M101" s="1328"/>
      <c r="N101" s="1328"/>
      <c r="O101" s="1649"/>
      <c r="P101" s="1323"/>
      <c r="Q101" s="1351"/>
      <c r="R101" s="1323"/>
      <c r="S101" s="1329"/>
      <c r="T101" s="1332" t="s">
        <v>316</v>
      </c>
      <c r="U101" s="1331"/>
      <c r="V101" s="1331"/>
      <c r="W101" s="1331"/>
      <c r="X101" s="1331"/>
      <c r="Y101" s="1331"/>
      <c r="Z101" s="1331"/>
      <c r="AA101" s="1331"/>
      <c r="AB101" s="1331"/>
      <c r="AC101" s="1331"/>
      <c r="AD101" s="1331"/>
      <c r="AE101" s="1331"/>
      <c r="AF101" s="1331"/>
      <c r="AG101" s="1331"/>
      <c r="AH101" s="1331"/>
      <c r="AI101" s="1331"/>
      <c r="AJ101" s="1331"/>
      <c r="AK101" s="1331"/>
      <c r="AL101" s="1331"/>
      <c r="AM101" s="1331"/>
      <c r="AN101" s="1331"/>
      <c r="AO101" s="1331"/>
      <c r="AP101" s="1331"/>
      <c r="AQ101" s="1331"/>
      <c r="AR101" s="1331"/>
      <c r="AS101" s="1331"/>
      <c r="AT101" s="1331"/>
      <c r="AU101" s="1331"/>
      <c r="AV101" s="1331"/>
      <c r="AW101" s="1331"/>
      <c r="AX101" s="1331"/>
      <c r="AY101" s="1331"/>
      <c r="AZ101" s="1331"/>
      <c r="BA101" s="1331"/>
      <c r="BB101" s="1331"/>
      <c r="BC101" s="1331"/>
      <c r="BD101" s="1331"/>
      <c r="BE101" s="1331"/>
      <c r="BF101" s="1331"/>
      <c r="BG101" s="1331"/>
      <c r="BH101" s="1331"/>
      <c r="BI101" s="1331"/>
      <c r="BJ101" s="1331"/>
      <c r="BK101" s="1331"/>
      <c r="BL101" s="1331"/>
      <c r="BM101" s="1331"/>
      <c r="BN101" s="1331"/>
      <c r="BO101" s="1331"/>
      <c r="BP101" s="1331"/>
      <c r="BQ101" s="1331"/>
      <c r="BR101" s="1331"/>
      <c r="BS101" s="1331"/>
      <c r="BT101" s="1331"/>
      <c r="BU101" s="1331"/>
      <c r="BV101" s="1331"/>
      <c r="BW101" s="1331"/>
      <c r="BX101" s="1331"/>
      <c r="BY101" s="1331"/>
      <c r="BZ101" s="1331"/>
      <c r="CA101" s="1331"/>
      <c r="CB101" s="1331"/>
      <c r="CC101" s="1331"/>
      <c r="CD101" s="1331"/>
      <c r="CE101" s="1331"/>
      <c r="CF101" s="1331"/>
      <c r="CG101" s="1331"/>
      <c r="CH101" s="1331"/>
      <c r="CI101" s="1331"/>
      <c r="CJ101" s="1331"/>
      <c r="CK101" s="1331"/>
      <c r="CL101" s="1331"/>
      <c r="CM101" s="1331"/>
      <c r="CN101" s="1331"/>
      <c r="CO101" s="1331"/>
      <c r="CP101" s="1649"/>
      <c r="CQ101" s="1631"/>
      <c r="CR101" s="1631" t="str">
        <f>IF(T101="","",T101)</f>
        <v>Добавить централизованную систему для дифференциации</v>
      </c>
      <c r="CS101" s="1631"/>
      <c r="CT101" s="1631"/>
      <c r="CU101" s="1649">
        <v>0</v>
      </c>
    </row>
    <row s="1857" customFormat="1" customHeight="1" ht="23.25">
      <c r="A102" s="1370"/>
      <c r="B102" s="1370" t="s">
        <v>337</v>
      </c>
      <c r="C102" s="1370"/>
      <c r="D102" s="1370"/>
      <c r="E102" s="2266"/>
      <c r="F102" s="2265" t="s">
        <v>93</v>
      </c>
      <c r="G102" s="1370"/>
      <c r="H102" s="1370"/>
      <c r="I102" s="1370"/>
      <c r="J102" s="1370"/>
      <c r="K102" s="1370"/>
      <c r="L102" s="1376"/>
      <c r="M102" s="1372"/>
      <c r="N102" s="1372"/>
      <c r="O102" s="1372"/>
      <c r="P102" s="2132"/>
      <c r="Q102" s="359"/>
      <c r="R102" s="360"/>
      <c r="S102" s="2280" t="str">
        <f>INDEX(PT_DIFFERENTIATION_NUM_TER,MATCH(B102,PT_DIFFERENTIATION_TER_ID,0))</f>
        <v>1.7</v>
      </c>
      <c r="T102" s="1529" t="s">
        <v>560</v>
      </c>
      <c r="U102" s="307"/>
      <c r="V102" s="2249"/>
      <c r="W102" s="2250"/>
      <c r="X102" s="2250"/>
      <c r="Y102" s="2250"/>
      <c r="Z102" s="2250"/>
      <c r="AA102" s="2250"/>
      <c r="AB102" s="2251"/>
      <c r="AC102" s="2249" t="str">
        <f>INDEX(PT_DIFFERENTIATION_TER,MATCH(B102,PT_DIFFERENTIATION_TER_ID,0))</f>
        <v>Территория 7</v>
      </c>
      <c r="AD102" s="2250"/>
      <c r="AE102" s="2250"/>
      <c r="AF102" s="2250"/>
      <c r="AG102" s="2250"/>
      <c r="AH102" s="2250"/>
      <c r="AI102" s="2250"/>
      <c r="AJ102" s="2249"/>
      <c r="AK102" s="2250"/>
      <c r="AL102" s="2250"/>
      <c r="AM102" s="2250"/>
      <c r="AN102" s="2250"/>
      <c r="AO102" s="2250"/>
      <c r="AP102" s="2251"/>
      <c r="AQ102" s="2249"/>
      <c r="AR102" s="2250"/>
      <c r="AS102" s="2250"/>
      <c r="AT102" s="2250"/>
      <c r="AU102" s="2250"/>
      <c r="AV102" s="2250"/>
      <c r="AW102" s="2251"/>
      <c r="AX102" s="2249"/>
      <c r="AY102" s="2250"/>
      <c r="AZ102" s="2250"/>
      <c r="BA102" s="2250"/>
      <c r="BB102" s="2250"/>
      <c r="BC102" s="2250"/>
      <c r="BD102" s="2251"/>
      <c r="BE102" s="2249"/>
      <c r="BF102" s="2250"/>
      <c r="BG102" s="2250"/>
      <c r="BH102" s="2250"/>
      <c r="BI102" s="2250"/>
      <c r="BJ102" s="2250"/>
      <c r="BK102" s="2251"/>
      <c r="BL102" s="2249"/>
      <c r="BM102" s="2250"/>
      <c r="BN102" s="2250"/>
      <c r="BO102" s="2250"/>
      <c r="BP102" s="2250"/>
      <c r="BQ102" s="2250"/>
      <c r="BR102" s="2251"/>
      <c r="BS102" s="2249"/>
      <c r="BT102" s="2250"/>
      <c r="BU102" s="2250"/>
      <c r="BV102" s="2250"/>
      <c r="BW102" s="2250"/>
      <c r="BX102" s="2250"/>
      <c r="BY102" s="2251"/>
      <c r="BZ102" s="2249"/>
      <c r="CA102" s="2250"/>
      <c r="CB102" s="2250"/>
      <c r="CC102" s="2250"/>
      <c r="CD102" s="2250"/>
      <c r="CE102" s="2250"/>
      <c r="CF102" s="2251"/>
      <c r="CG102" s="2249"/>
      <c r="CH102" s="2250"/>
      <c r="CI102" s="2250"/>
      <c r="CJ102" s="2250"/>
      <c r="CK102" s="2250"/>
      <c r="CL102" s="2250"/>
      <c r="CM102" s="4492"/>
      <c r="CN102" s="2251"/>
      <c r="CO102" s="1265" t="s">
        <v>561</v>
      </c>
      <c r="CP102" s="1649"/>
      <c r="CQ102" s="1631"/>
      <c r="CR102" s="1631" t="str">
        <f>IF(T102="","",T102)</f>
        <v>Территория действия тарифа</v>
      </c>
      <c r="CS102" s="1631"/>
      <c r="CT102" s="1631"/>
      <c r="CU102" s="1642">
        <v>0</v>
      </c>
    </row>
    <row s="1857" customFormat="1" customHeight="1" ht="23.25">
      <c r="A103" s="1370"/>
      <c r="B103" s="1370"/>
      <c r="C103" s="1370" t="s">
        <v>338</v>
      </c>
      <c r="D103" s="1370"/>
      <c r="E103" s="2266"/>
      <c r="F103" s="2266" t="s">
        <v>92</v>
      </c>
      <c r="G103" s="2265">
        <v>1</v>
      </c>
      <c r="H103" s="1370"/>
      <c r="I103" s="1370"/>
      <c r="J103" s="1370"/>
      <c r="K103" s="1370"/>
      <c r="L103" s="1376"/>
      <c r="M103" s="1372"/>
      <c r="N103" s="1372"/>
      <c r="O103" s="1372"/>
      <c r="P103" s="361"/>
      <c r="Q103" s="359"/>
      <c r="R103" s="360"/>
      <c r="S103" s="2280" t="str">
        <f>INDEX(PT_DIFFERENTIATION_NUM_CS,MATCH(C103,PT_DIFFERENTIATION_CS_ID,0))</f>
        <v>1.7.1</v>
      </c>
      <c r="T103" s="316" t="s">
        <v>641</v>
      </c>
      <c r="U103" s="307"/>
      <c r="V103" s="2249"/>
      <c r="W103" s="2250"/>
      <c r="X103" s="2250"/>
      <c r="Y103" s="2250"/>
      <c r="Z103" s="2250"/>
      <c r="AA103" s="2250"/>
      <c r="AB103" s="2251"/>
      <c r="AC103" s="2249" t="str">
        <f>INDEX(PT_DIFFERENTIATION_CS,MATCH(C103,PT_DIFFERENTIATION_CS_ID,0))</f>
        <v>Грайворонский район</v>
      </c>
      <c r="AD103" s="2250"/>
      <c r="AE103" s="2250"/>
      <c r="AF103" s="2250"/>
      <c r="AG103" s="2250"/>
      <c r="AH103" s="2250"/>
      <c r="AI103" s="2250"/>
      <c r="AJ103" s="2249"/>
      <c r="AK103" s="2250"/>
      <c r="AL103" s="2250"/>
      <c r="AM103" s="2250"/>
      <c r="AN103" s="2250"/>
      <c r="AO103" s="2250"/>
      <c r="AP103" s="2251"/>
      <c r="AQ103" s="2249"/>
      <c r="AR103" s="2250"/>
      <c r="AS103" s="2250"/>
      <c r="AT103" s="2250"/>
      <c r="AU103" s="2250"/>
      <c r="AV103" s="2250"/>
      <c r="AW103" s="2251"/>
      <c r="AX103" s="2249"/>
      <c r="AY103" s="2250"/>
      <c r="AZ103" s="2250"/>
      <c r="BA103" s="2250"/>
      <c r="BB103" s="2250"/>
      <c r="BC103" s="2250"/>
      <c r="BD103" s="2251"/>
      <c r="BE103" s="2249"/>
      <c r="BF103" s="2250"/>
      <c r="BG103" s="2250"/>
      <c r="BH103" s="2250"/>
      <c r="BI103" s="2250"/>
      <c r="BJ103" s="2250"/>
      <c r="BK103" s="2251"/>
      <c r="BL103" s="2249"/>
      <c r="BM103" s="2250"/>
      <c r="BN103" s="2250"/>
      <c r="BO103" s="2250"/>
      <c r="BP103" s="2250"/>
      <c r="BQ103" s="2250"/>
      <c r="BR103" s="2251"/>
      <c r="BS103" s="2249"/>
      <c r="BT103" s="2250"/>
      <c r="BU103" s="2250"/>
      <c r="BV103" s="2250"/>
      <c r="BW103" s="2250"/>
      <c r="BX103" s="2250"/>
      <c r="BY103" s="2251"/>
      <c r="BZ103" s="2249"/>
      <c r="CA103" s="2250"/>
      <c r="CB103" s="2250"/>
      <c r="CC103" s="2250"/>
      <c r="CD103" s="2250"/>
      <c r="CE103" s="2250"/>
      <c r="CF103" s="2251"/>
      <c r="CG103" s="2249"/>
      <c r="CH103" s="2250"/>
      <c r="CI103" s="2250"/>
      <c r="CJ103" s="2250"/>
      <c r="CK103" s="2250"/>
      <c r="CL103" s="2250"/>
      <c r="CM103" s="4492"/>
      <c r="CN103" s="2251"/>
      <c r="CO103" s="1265" t="s">
        <v>642</v>
      </c>
      <c r="CP103" s="1649"/>
      <c r="CQ103" s="1631"/>
      <c r="CR103" s="1631" t="str">
        <f>IF(T103="","",T103)</f>
        <v>Наименование централизованной системы холодного водоснабжения</v>
      </c>
      <c r="CS103" s="1631"/>
      <c r="CT103" s="1631"/>
      <c r="CU103" s="1642">
        <v>0</v>
      </c>
    </row>
    <row s="1857" customFormat="1" customHeight="1" ht="23.25">
      <c r="A104" s="1370"/>
      <c r="B104" s="1370"/>
      <c r="C104" s="1370"/>
      <c r="D104" s="1370"/>
      <c r="E104" s="2266"/>
      <c r="F104" s="2266" t="s">
        <v>92</v>
      </c>
      <c r="G104" s="2266"/>
      <c r="H104" s="2266"/>
      <c r="I104" s="2263" t="str">
        <f>S103&amp;".1"</f>
        <v>1.7.1.1</v>
      </c>
      <c r="J104" s="1370"/>
      <c r="K104" s="1370"/>
      <c r="L104" s="1376"/>
      <c r="M104" s="1783"/>
      <c r="N104" s="1783"/>
      <c r="O104" s="1783"/>
      <c r="P104" s="2381">
        <v>1</v>
      </c>
      <c r="Q104" s="2381"/>
      <c r="R104" s="363"/>
      <c r="S104" s="2280" t="str">
        <f>$I104</f>
        <v>1.7.1.1</v>
      </c>
      <c r="T104" s="292" t="s">
        <v>643</v>
      </c>
      <c r="U104" s="307"/>
      <c r="V104" s="2357"/>
      <c r="W104" s="2358"/>
      <c r="X104" s="2358"/>
      <c r="Y104" s="2358"/>
      <c r="Z104" s="2358"/>
      <c r="AA104" s="2358"/>
      <c r="AB104" s="2359"/>
      <c r="AC104" s="2360" t="s">
        <v>336</v>
      </c>
      <c r="AD104" s="2361"/>
      <c r="AE104" s="2361"/>
      <c r="AF104" s="2361"/>
      <c r="AG104" s="2361"/>
      <c r="AH104" s="2361"/>
      <c r="AI104" s="2361"/>
      <c r="AJ104" s="2357"/>
      <c r="AK104" s="2358"/>
      <c r="AL104" s="2358"/>
      <c r="AM104" s="2358"/>
      <c r="AN104" s="2358"/>
      <c r="AO104" s="2358"/>
      <c r="AP104" s="2359"/>
      <c r="AQ104" s="2357"/>
      <c r="AR104" s="2358"/>
      <c r="AS104" s="2358"/>
      <c r="AT104" s="2358"/>
      <c r="AU104" s="2358"/>
      <c r="AV104" s="2358"/>
      <c r="AW104" s="2359"/>
      <c r="AX104" s="2357"/>
      <c r="AY104" s="2358"/>
      <c r="AZ104" s="2358"/>
      <c r="BA104" s="2358"/>
      <c r="BB104" s="2358"/>
      <c r="BC104" s="2358"/>
      <c r="BD104" s="2359"/>
      <c r="BE104" s="2357"/>
      <c r="BF104" s="2358"/>
      <c r="BG104" s="2358"/>
      <c r="BH104" s="2358"/>
      <c r="BI104" s="2358"/>
      <c r="BJ104" s="2358"/>
      <c r="BK104" s="2359"/>
      <c r="BL104" s="2357"/>
      <c r="BM104" s="2358"/>
      <c r="BN104" s="2358"/>
      <c r="BO104" s="2358"/>
      <c r="BP104" s="2358"/>
      <c r="BQ104" s="2358"/>
      <c r="BR104" s="2359"/>
      <c r="BS104" s="2357"/>
      <c r="BT104" s="2358"/>
      <c r="BU104" s="2358"/>
      <c r="BV104" s="2358"/>
      <c r="BW104" s="2358"/>
      <c r="BX104" s="2358"/>
      <c r="BY104" s="2359"/>
      <c r="BZ104" s="2357"/>
      <c r="CA104" s="2358"/>
      <c r="CB104" s="2358"/>
      <c r="CC104" s="2358"/>
      <c r="CD104" s="2358"/>
      <c r="CE104" s="2358"/>
      <c r="CF104" s="2359"/>
      <c r="CG104" s="2357"/>
      <c r="CH104" s="2358"/>
      <c r="CI104" s="2358"/>
      <c r="CJ104" s="2358"/>
      <c r="CK104" s="2358"/>
      <c r="CL104" s="2358"/>
      <c r="CM104" s="4495"/>
      <c r="CN104" s="2362"/>
      <c r="CO104" s="1265" t="s">
        <v>644</v>
      </c>
      <c r="CP104" s="1649"/>
      <c r="CQ104" s="1631"/>
      <c r="CR104" s="1631" t="str">
        <f>IF(T104="","",T104)</f>
        <v>Наименование признака дифференциации</v>
      </c>
      <c r="CS104" s="1631"/>
      <c r="CT104" s="1631"/>
      <c r="CU104" s="1642">
        <v>0</v>
      </c>
    </row>
    <row s="1857" customFormat="1" customHeight="1" ht="23.25">
      <c r="A105" s="1370"/>
      <c r="B105" s="1370"/>
      <c r="C105" s="1370"/>
      <c r="D105" s="1370"/>
      <c r="E105" s="2266"/>
      <c r="F105" s="2266" t="s">
        <v>92</v>
      </c>
      <c r="G105" s="2266"/>
      <c r="H105" s="2266"/>
      <c r="I105" s="2293"/>
      <c r="J105" s="2263" t="str">
        <f>I104&amp;".1"</f>
        <v>1.7.1.1.1</v>
      </c>
      <c r="K105" s="1370"/>
      <c r="L105" s="1376" t="s">
        <v>569</v>
      </c>
      <c r="M105" s="1783"/>
      <c r="N105" s="1783"/>
      <c r="O105" s="1783"/>
      <c r="P105" s="2381"/>
      <c r="Q105" s="2381">
        <v>1</v>
      </c>
      <c r="R105" s="364"/>
      <c r="S105" s="2280" t="str">
        <f>$J105</f>
        <v>1.7.1.1.1</v>
      </c>
      <c r="T105" s="293" t="s">
        <v>570</v>
      </c>
      <c r="U105" s="307"/>
      <c r="V105" s="2252"/>
      <c r="W105" s="2253"/>
      <c r="X105" s="2253"/>
      <c r="Y105" s="2253"/>
      <c r="Z105" s="2253"/>
      <c r="AA105" s="2253"/>
      <c r="AB105" s="2254"/>
      <c r="AC105" s="2252" t="s">
        <v>656</v>
      </c>
      <c r="AD105" s="2253"/>
      <c r="AE105" s="2253"/>
      <c r="AF105" s="2253"/>
      <c r="AG105" s="2253"/>
      <c r="AH105" s="2253"/>
      <c r="AI105" s="2253"/>
      <c r="AJ105" s="2252"/>
      <c r="AK105" s="2253"/>
      <c r="AL105" s="2253"/>
      <c r="AM105" s="2253"/>
      <c r="AN105" s="2253"/>
      <c r="AO105" s="2253"/>
      <c r="AP105" s="2254"/>
      <c r="AQ105" s="2252"/>
      <c r="AR105" s="2253"/>
      <c r="AS105" s="2253"/>
      <c r="AT105" s="2253"/>
      <c r="AU105" s="2253"/>
      <c r="AV105" s="2253"/>
      <c r="AW105" s="2254"/>
      <c r="AX105" s="2252"/>
      <c r="AY105" s="2253"/>
      <c r="AZ105" s="2253"/>
      <c r="BA105" s="2253"/>
      <c r="BB105" s="2253"/>
      <c r="BC105" s="2253"/>
      <c r="BD105" s="2254"/>
      <c r="BE105" s="2252"/>
      <c r="BF105" s="2253"/>
      <c r="BG105" s="2253"/>
      <c r="BH105" s="2253"/>
      <c r="BI105" s="2253"/>
      <c r="BJ105" s="2253"/>
      <c r="BK105" s="2254"/>
      <c r="BL105" s="2252"/>
      <c r="BM105" s="2253"/>
      <c r="BN105" s="2253"/>
      <c r="BO105" s="2253"/>
      <c r="BP105" s="2253"/>
      <c r="BQ105" s="2253"/>
      <c r="BR105" s="2254"/>
      <c r="BS105" s="2252"/>
      <c r="BT105" s="2253"/>
      <c r="BU105" s="2253"/>
      <c r="BV105" s="2253"/>
      <c r="BW105" s="2253"/>
      <c r="BX105" s="2253"/>
      <c r="BY105" s="2254"/>
      <c r="BZ105" s="2252"/>
      <c r="CA105" s="2253"/>
      <c r="CB105" s="2253"/>
      <c r="CC105" s="2253"/>
      <c r="CD105" s="2253"/>
      <c r="CE105" s="2253"/>
      <c r="CF105" s="2254"/>
      <c r="CG105" s="2252"/>
      <c r="CH105" s="2253"/>
      <c r="CI105" s="2253"/>
      <c r="CJ105" s="2253"/>
      <c r="CK105" s="2253"/>
      <c r="CL105" s="2253"/>
      <c r="CM105" s="4498"/>
      <c r="CN105" s="2254"/>
      <c r="CO105" s="1314" t="s">
        <v>645</v>
      </c>
      <c r="CP105" s="1649"/>
      <c r="CQ105" s="1631"/>
      <c r="CR105" s="1631" t="str">
        <f>IF(T105="","",T105)</f>
        <v>Группа потребителей</v>
      </c>
      <c r="CS105" s="1631"/>
      <c r="CT105" s="1631"/>
      <c r="CU105" s="1642">
        <v>0</v>
      </c>
    </row>
    <row s="1857" customFormat="1" customHeight="1" ht="23.25">
      <c r="A106" s="1370"/>
      <c r="B106" s="1370"/>
      <c r="C106" s="1370"/>
      <c r="D106" s="1370"/>
      <c r="E106" s="2266"/>
      <c r="F106" s="2266" t="s">
        <v>92</v>
      </c>
      <c r="G106" s="2266"/>
      <c r="H106" s="2266"/>
      <c r="I106" s="2293"/>
      <c r="J106" s="2293"/>
      <c r="K106" s="2263" t="str">
        <f>J105&amp;".1"</f>
        <v>1.7.1.1.1.1</v>
      </c>
      <c r="L106" s="1376"/>
      <c r="M106" s="1783"/>
      <c r="N106" s="1783"/>
      <c r="O106" s="1783"/>
      <c r="P106" s="2381"/>
      <c r="Q106" s="2381"/>
      <c r="R106" s="364">
        <v>1</v>
      </c>
      <c r="S106" s="2280" t="str">
        <f>$K106</f>
        <v>1.7.1.1.1.1</v>
      </c>
      <c r="T106" s="1444" t="s">
        <v>657</v>
      </c>
      <c r="U106" s="307"/>
      <c r="V106" s="758"/>
      <c r="W106" s="758"/>
      <c r="X106" s="1264"/>
      <c r="Y106" s="2609"/>
      <c r="Z106" s="2114" t="s">
        <v>66</v>
      </c>
      <c r="AA106" s="2609"/>
      <c r="AB106" s="2114" t="s">
        <v>66</v>
      </c>
      <c r="AC106" s="758">
        <v>26.3</v>
      </c>
      <c r="AD106" s="758"/>
      <c r="AE106" s="1264"/>
      <c r="AF106" s="2609">
        <v>44896</v>
      </c>
      <c r="AG106" s="2114" t="s">
        <v>66</v>
      </c>
      <c r="AH106" s="2294">
        <v>45291</v>
      </c>
      <c r="AI106" s="2114" t="s">
        <v>66</v>
      </c>
      <c r="AJ106" s="758">
        <v>26.3</v>
      </c>
      <c r="AK106" s="758"/>
      <c r="AL106" s="1264"/>
      <c r="AM106" s="2609">
        <v>45292</v>
      </c>
      <c r="AN106" s="2114" t="s">
        <v>66</v>
      </c>
      <c r="AO106" s="2609">
        <v>45473</v>
      </c>
      <c r="AP106" s="2114" t="s">
        <v>66</v>
      </c>
      <c r="AQ106" s="758">
        <v>29.48</v>
      </c>
      <c r="AR106" s="758"/>
      <c r="AS106" s="1264"/>
      <c r="AT106" s="2609">
        <v>45474</v>
      </c>
      <c r="AU106" s="2114" t="s">
        <v>66</v>
      </c>
      <c r="AV106" s="2609">
        <v>45657</v>
      </c>
      <c r="AW106" s="2114" t="s">
        <v>66</v>
      </c>
      <c r="AX106" s="758">
        <v>29.48</v>
      </c>
      <c r="AY106" s="758"/>
      <c r="AZ106" s="1264"/>
      <c r="BA106" s="2609">
        <v>45658</v>
      </c>
      <c r="BB106" s="2114" t="s">
        <v>66</v>
      </c>
      <c r="BC106" s="2609">
        <v>45838</v>
      </c>
      <c r="BD106" s="2114" t="s">
        <v>66</v>
      </c>
      <c r="BE106" s="758">
        <v>139.76</v>
      </c>
      <c r="BF106" s="758"/>
      <c r="BG106" s="1264"/>
      <c r="BH106" s="2609">
        <v>45839</v>
      </c>
      <c r="BI106" s="2114" t="s">
        <v>66</v>
      </c>
      <c r="BJ106" s="2609">
        <v>46022</v>
      </c>
      <c r="BK106" s="2114" t="s">
        <v>66</v>
      </c>
      <c r="BL106" s="758">
        <v>28.52</v>
      </c>
      <c r="BM106" s="758"/>
      <c r="BN106" s="1264"/>
      <c r="BO106" s="2609">
        <v>46023</v>
      </c>
      <c r="BP106" s="2114" t="s">
        <v>66</v>
      </c>
      <c r="BQ106" s="2609">
        <v>46203</v>
      </c>
      <c r="BR106" s="2114" t="s">
        <v>66</v>
      </c>
      <c r="BS106" s="758">
        <v>30.52</v>
      </c>
      <c r="BT106" s="758"/>
      <c r="BU106" s="1264"/>
      <c r="BV106" s="2609">
        <v>46204</v>
      </c>
      <c r="BW106" s="2114" t="s">
        <v>66</v>
      </c>
      <c r="BX106" s="2609">
        <v>46387</v>
      </c>
      <c r="BY106" s="2114" t="s">
        <v>66</v>
      </c>
      <c r="BZ106" s="758">
        <v>30.52</v>
      </c>
      <c r="CA106" s="758"/>
      <c r="CB106" s="1264"/>
      <c r="CC106" s="2609">
        <v>46388</v>
      </c>
      <c r="CD106" s="2114" t="s">
        <v>66</v>
      </c>
      <c r="CE106" s="2609">
        <v>46568</v>
      </c>
      <c r="CF106" s="2114" t="s">
        <v>66</v>
      </c>
      <c r="CG106" s="758">
        <v>30.6</v>
      </c>
      <c r="CH106" s="758"/>
      <c r="CI106" s="1264"/>
      <c r="CJ106" s="2609">
        <v>46569</v>
      </c>
      <c r="CK106" s="2114" t="s">
        <v>66</v>
      </c>
      <c r="CL106" s="2609">
        <v>46752</v>
      </c>
      <c r="CM106" s="2114" t="s">
        <v>66</v>
      </c>
      <c r="CN106" s="1445"/>
      <c r="CO10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06" s="1649">
        <f>STRCHECKDATE(V107:CN107)</f>
      </c>
      <c r="CQ106" s="1631"/>
      <c r="CR106" s="1631" t="str">
        <f>IF(T106="","",T106)</f>
        <v>Тариф по водоснабжению без НДС</v>
      </c>
      <c r="CS106" s="1631"/>
      <c r="CT106" s="1631"/>
      <c r="CU106" s="1642">
        <v>0</v>
      </c>
    </row>
    <row s="1857" customFormat="1" customHeight="1" ht="14.25">
      <c r="A107" s="1370"/>
      <c r="B107" s="1370"/>
      <c r="C107" s="1370"/>
      <c r="D107" s="1370"/>
      <c r="E107" s="2266"/>
      <c r="F107" s="2266" t="s">
        <v>92</v>
      </c>
      <c r="G107" s="2266"/>
      <c r="H107" s="2266"/>
      <c r="I107" s="2293"/>
      <c r="J107" s="2293"/>
      <c r="K107" s="2263"/>
      <c r="L107" s="1376"/>
      <c r="M107" s="1783"/>
      <c r="N107" s="1783"/>
      <c r="O107" s="1783"/>
      <c r="P107" s="2381"/>
      <c r="Q107" s="2381"/>
      <c r="R107" s="364"/>
      <c r="S107" s="2520"/>
      <c r="T107" s="307"/>
      <c r="U107" s="307"/>
      <c r="V107" s="332"/>
      <c r="W107" s="332"/>
      <c r="X107" s="335" t="str">
        <f>Y106&amp;"-"&amp;AA106</f>
        <v>-</v>
      </c>
      <c r="Y107" s="2316"/>
      <c r="Z107" s="2114"/>
      <c r="AA107" s="2316"/>
      <c r="AB107" s="2114"/>
      <c r="AC107" s="332"/>
      <c r="AD107" s="332"/>
      <c r="AE107" s="335" t="str">
        <f>AF106&amp;"-"&amp;AH106</f>
        <v>44896-45291</v>
      </c>
      <c r="AF107" s="2316"/>
      <c r="AG107" s="2114"/>
      <c r="AH107" s="2295"/>
      <c r="AI107" s="2114"/>
      <c r="AJ107" s="332"/>
      <c r="AK107" s="332"/>
      <c r="AL107" s="335" t="str">
        <f>AM106&amp;"-"&amp;AO106</f>
        <v>45292-45473</v>
      </c>
      <c r="AM107" s="2316"/>
      <c r="AN107" s="2114"/>
      <c r="AO107" s="2316"/>
      <c r="AP107" s="2114"/>
      <c r="AQ107" s="332"/>
      <c r="AR107" s="332"/>
      <c r="AS107" s="335" t="str">
        <f>AT106&amp;"-"&amp;AV106</f>
        <v>45474-45657</v>
      </c>
      <c r="AT107" s="2316"/>
      <c r="AU107" s="2114"/>
      <c r="AV107" s="2316"/>
      <c r="AW107" s="2114"/>
      <c r="AX107" s="332"/>
      <c r="AY107" s="332"/>
      <c r="AZ107" s="335" t="str">
        <f>BA106&amp;"-"&amp;BC106</f>
        <v>45658-45838</v>
      </c>
      <c r="BA107" s="2316"/>
      <c r="BB107" s="2114"/>
      <c r="BC107" s="2316"/>
      <c r="BD107" s="2114"/>
      <c r="BE107" s="332"/>
      <c r="BF107" s="332"/>
      <c r="BG107" s="335" t="str">
        <f>BH106&amp;"-"&amp;BJ106</f>
        <v>45839-46022</v>
      </c>
      <c r="BH107" s="2316"/>
      <c r="BI107" s="2114"/>
      <c r="BJ107" s="2316"/>
      <c r="BK107" s="2114"/>
      <c r="BL107" s="332"/>
      <c r="BM107" s="332"/>
      <c r="BN107" s="335" t="str">
        <f>BO106&amp;"-"&amp;BQ106</f>
        <v>46023-46203</v>
      </c>
      <c r="BO107" s="2316"/>
      <c r="BP107" s="2114"/>
      <c r="BQ107" s="2316"/>
      <c r="BR107" s="2114"/>
      <c r="BS107" s="332"/>
      <c r="BT107" s="332"/>
      <c r="BU107" s="335" t="str">
        <f>BV106&amp;"-"&amp;BX106</f>
        <v>46204-46387</v>
      </c>
      <c r="BV107" s="2316"/>
      <c r="BW107" s="2114"/>
      <c r="BX107" s="2316"/>
      <c r="BY107" s="2114"/>
      <c r="BZ107" s="332"/>
      <c r="CA107" s="332"/>
      <c r="CB107" s="335" t="str">
        <f>CC106&amp;"-"&amp;CE106</f>
        <v>46388-46568</v>
      </c>
      <c r="CC107" s="2316"/>
      <c r="CD107" s="2114"/>
      <c r="CE107" s="2316"/>
      <c r="CF107" s="2114"/>
      <c r="CG107" s="332"/>
      <c r="CH107" s="332"/>
      <c r="CI107" s="335" t="str">
        <f>CJ106&amp;"-"&amp;CL106</f>
        <v>46569-46752</v>
      </c>
      <c r="CJ107" s="2316"/>
      <c r="CK107" s="2114"/>
      <c r="CL107" s="2316"/>
      <c r="CM107" s="2114"/>
      <c r="CN107" s="1446"/>
      <c r="CO107" s="2356"/>
      <c r="CP107" s="1649"/>
      <c r="CQ107" s="1631"/>
      <c r="CR107" s="1631" t="str">
        <f>IF(T107="","",T107)</f>
        <v/>
      </c>
      <c r="CS107" s="1631"/>
      <c r="CT107" s="1631"/>
      <c r="CU107" s="1642">
        <v>0</v>
      </c>
    </row>
    <row s="1857" customFormat="1" customHeight="1" ht="21">
      <c r="A108" s="1370"/>
      <c r="B108" s="1370"/>
      <c r="C108" s="1370"/>
      <c r="D108" s="1370"/>
      <c r="E108" s="2266"/>
      <c r="F108" s="2266" t="s">
        <v>92</v>
      </c>
      <c r="G108" s="2266"/>
      <c r="H108" s="2266"/>
      <c r="I108" s="2293"/>
      <c r="J108" s="2263"/>
      <c r="K108" s="1370"/>
      <c r="L108" s="1376"/>
      <c r="M108" s="1783"/>
      <c r="N108" s="1783"/>
      <c r="O108" s="1783"/>
      <c r="P108" s="2381"/>
      <c r="Q108" s="2381"/>
      <c r="R108" s="363"/>
      <c r="S108" s="3178"/>
      <c r="T108" s="3179" t="s">
        <v>646</v>
      </c>
      <c r="U108" s="3180"/>
      <c r="V108" s="3181"/>
      <c r="W108" s="3182"/>
      <c r="X108" s="3183"/>
      <c r="Y108" s="3184"/>
      <c r="Z108" s="3185"/>
      <c r="AA108" s="3186"/>
      <c r="AB108" s="3187"/>
      <c r="AC108" s="3188"/>
      <c r="AD108" s="3189"/>
      <c r="AE108" s="3190"/>
      <c r="AF108" s="3191"/>
      <c r="AG108" s="3192"/>
      <c r="AH108" s="3193"/>
      <c r="AI108" s="3194"/>
      <c r="AJ108" s="10170"/>
      <c r="AK108" s="10171"/>
      <c r="AL108" s="10172"/>
      <c r="AM108" s="10173"/>
      <c r="AN108" s="10174"/>
      <c r="AO108" s="10175"/>
      <c r="AP108" s="10176"/>
      <c r="AQ108" s="10177"/>
      <c r="AR108" s="10178"/>
      <c r="AS108" s="10179"/>
      <c r="AT108" s="10180"/>
      <c r="AU108" s="10181"/>
      <c r="AV108" s="10182"/>
      <c r="AW108" s="10183"/>
      <c r="AX108" s="10184"/>
      <c r="AY108" s="10185"/>
      <c r="AZ108" s="10186"/>
      <c r="BA108" s="10187"/>
      <c r="BB108" s="10188"/>
      <c r="BC108" s="10189"/>
      <c r="BD108" s="10190"/>
      <c r="BE108" s="10191"/>
      <c r="BF108" s="10192"/>
      <c r="BG108" s="10193"/>
      <c r="BH108" s="10194"/>
      <c r="BI108" s="10195"/>
      <c r="BJ108" s="10196"/>
      <c r="BK108" s="10197"/>
      <c r="BL108" s="10198"/>
      <c r="BM108" s="10199"/>
      <c r="BN108" s="10200"/>
      <c r="BO108" s="10201"/>
      <c r="BP108" s="10202"/>
      <c r="BQ108" s="10203"/>
      <c r="BR108" s="10204"/>
      <c r="BS108" s="10205"/>
      <c r="BT108" s="10206"/>
      <c r="BU108" s="10207"/>
      <c r="BV108" s="10208"/>
      <c r="BW108" s="10209"/>
      <c r="BX108" s="10210"/>
      <c r="BY108" s="10211"/>
      <c r="BZ108" s="10212"/>
      <c r="CA108" s="10213"/>
      <c r="CB108" s="10214"/>
      <c r="CC108" s="10215"/>
      <c r="CD108" s="10216"/>
      <c r="CE108" s="10217"/>
      <c r="CF108" s="10218"/>
      <c r="CG108" s="10219"/>
      <c r="CH108" s="10220"/>
      <c r="CI108" s="10221"/>
      <c r="CJ108" s="10222"/>
      <c r="CK108" s="10223"/>
      <c r="CL108" s="10224"/>
      <c r="CM108" s="12712"/>
      <c r="CN108" s="3202"/>
      <c r="CO108" s="1265" t="s">
        <v>647</v>
      </c>
      <c r="CP108" s="1649"/>
      <c r="CQ108" s="1631"/>
      <c r="CR108" s="1631" t="str">
        <f>IF(T108="","",T108)</f>
        <v>Добавить значение признака дифференциации</v>
      </c>
      <c r="CS108" s="1631"/>
      <c r="CT108" s="1631"/>
      <c r="CU108" s="1642">
        <v>0</v>
      </c>
    </row>
    <row s="1857" customFormat="1" customHeight="1" ht="21">
      <c r="A109" s="1370"/>
      <c r="B109" s="1370"/>
      <c r="C109" s="1370"/>
      <c r="D109" s="1370"/>
      <c r="E109" s="2266"/>
      <c r="F109" s="2266" t="s">
        <v>92</v>
      </c>
      <c r="G109" s="2266"/>
      <c r="H109" s="2266"/>
      <c r="I109" s="2263"/>
      <c r="J109" s="1370"/>
      <c r="K109" s="1370"/>
      <c r="L109" s="1376"/>
      <c r="M109" s="1783"/>
      <c r="N109" s="1783"/>
      <c r="O109" s="1783"/>
      <c r="P109" s="2381"/>
      <c r="Q109" s="2381"/>
      <c r="R109" s="363"/>
      <c r="S109" s="3203"/>
      <c r="T109" s="3204" t="s">
        <v>575</v>
      </c>
      <c r="U109" s="3205"/>
      <c r="V109" s="3206"/>
      <c r="W109" s="3207"/>
      <c r="X109" s="3208"/>
      <c r="Y109" s="3209"/>
      <c r="Z109" s="3210"/>
      <c r="AA109" s="3211"/>
      <c r="AB109" s="3212"/>
      <c r="AC109" s="3213"/>
      <c r="AD109" s="3214"/>
      <c r="AE109" s="3215"/>
      <c r="AF109" s="3216"/>
      <c r="AG109" s="3217"/>
      <c r="AH109" s="3218"/>
      <c r="AI109" s="3219"/>
      <c r="AJ109" s="10226"/>
      <c r="AK109" s="10227"/>
      <c r="AL109" s="10228"/>
      <c r="AM109" s="10229"/>
      <c r="AN109" s="10230"/>
      <c r="AO109" s="10231"/>
      <c r="AP109" s="10232"/>
      <c r="AQ109" s="10233"/>
      <c r="AR109" s="10234"/>
      <c r="AS109" s="10235"/>
      <c r="AT109" s="10236"/>
      <c r="AU109" s="10237"/>
      <c r="AV109" s="10238"/>
      <c r="AW109" s="10239"/>
      <c r="AX109" s="10240"/>
      <c r="AY109" s="10241"/>
      <c r="AZ109" s="10242"/>
      <c r="BA109" s="10243"/>
      <c r="BB109" s="10244"/>
      <c r="BC109" s="10245"/>
      <c r="BD109" s="10246"/>
      <c r="BE109" s="10247"/>
      <c r="BF109" s="10248"/>
      <c r="BG109" s="10249"/>
      <c r="BH109" s="10250"/>
      <c r="BI109" s="10251"/>
      <c r="BJ109" s="10252"/>
      <c r="BK109" s="10253"/>
      <c r="BL109" s="10254"/>
      <c r="BM109" s="10255"/>
      <c r="BN109" s="10256"/>
      <c r="BO109" s="10257"/>
      <c r="BP109" s="10258"/>
      <c r="BQ109" s="10259"/>
      <c r="BR109" s="10260"/>
      <c r="BS109" s="10261"/>
      <c r="BT109" s="10262"/>
      <c r="BU109" s="10263"/>
      <c r="BV109" s="10264"/>
      <c r="BW109" s="10265"/>
      <c r="BX109" s="10266"/>
      <c r="BY109" s="10267"/>
      <c r="BZ109" s="10268"/>
      <c r="CA109" s="10269"/>
      <c r="CB109" s="10270"/>
      <c r="CC109" s="10271"/>
      <c r="CD109" s="10272"/>
      <c r="CE109" s="10273"/>
      <c r="CF109" s="10274"/>
      <c r="CG109" s="10275"/>
      <c r="CH109" s="10276"/>
      <c r="CI109" s="10277"/>
      <c r="CJ109" s="10278"/>
      <c r="CK109" s="10279"/>
      <c r="CL109" s="10280"/>
      <c r="CM109" s="12713"/>
      <c r="CN109" s="3227"/>
      <c r="CO109" s="3228"/>
      <c r="CP109" s="1649"/>
      <c r="CQ109" s="1631"/>
      <c r="CR109" s="1631" t="str">
        <f>IF(T109="","",T109)</f>
        <v>Добавить группу потребителей</v>
      </c>
      <c r="CS109" s="1631"/>
      <c r="CT109" s="1631"/>
      <c r="CU109" s="1642">
        <v>0</v>
      </c>
    </row>
    <row s="1857" customFormat="1" customHeight="1" ht="14.25">
      <c r="A110" s="1370"/>
      <c r="B110" s="1370"/>
      <c r="C110" s="1370"/>
      <c r="D110" s="1370"/>
      <c r="E110" s="2266"/>
      <c r="F110" s="2266" t="s">
        <v>92</v>
      </c>
      <c r="G110" s="2266"/>
      <c r="H110" s="2265"/>
      <c r="I110" s="1370"/>
      <c r="J110" s="1370"/>
      <c r="K110" s="1370"/>
      <c r="L110" s="1376"/>
      <c r="M110" s="1372"/>
      <c r="N110" s="1372"/>
      <c r="O110" s="1373"/>
      <c r="P110" s="1830"/>
      <c r="Q110" s="382"/>
      <c r="R110" s="362"/>
      <c r="S110" s="3229"/>
      <c r="T110" s="3230" t="s">
        <v>648</v>
      </c>
      <c r="U110" s="3231"/>
      <c r="V110" s="3232"/>
      <c r="W110" s="3233"/>
      <c r="X110" s="3234"/>
      <c r="Y110" s="3235"/>
      <c r="Z110" s="3236"/>
      <c r="AA110" s="3237"/>
      <c r="AB110" s="3238"/>
      <c r="AC110" s="3239"/>
      <c r="AD110" s="3240"/>
      <c r="AE110" s="3241"/>
      <c r="AF110" s="3242"/>
      <c r="AG110" s="3243"/>
      <c r="AH110" s="3244"/>
      <c r="AI110" s="3245"/>
      <c r="AJ110" s="10282"/>
      <c r="AK110" s="10283"/>
      <c r="AL110" s="10284"/>
      <c r="AM110" s="10285"/>
      <c r="AN110" s="10286"/>
      <c r="AO110" s="10287"/>
      <c r="AP110" s="10288"/>
      <c r="AQ110" s="10289"/>
      <c r="AR110" s="10290"/>
      <c r="AS110" s="10291"/>
      <c r="AT110" s="10292"/>
      <c r="AU110" s="10293"/>
      <c r="AV110" s="10294"/>
      <c r="AW110" s="10295"/>
      <c r="AX110" s="10296"/>
      <c r="AY110" s="10297"/>
      <c r="AZ110" s="10298"/>
      <c r="BA110" s="10299"/>
      <c r="BB110" s="10300"/>
      <c r="BC110" s="10301"/>
      <c r="BD110" s="10302"/>
      <c r="BE110" s="10303"/>
      <c r="BF110" s="10304"/>
      <c r="BG110" s="10305"/>
      <c r="BH110" s="10306"/>
      <c r="BI110" s="10307"/>
      <c r="BJ110" s="10308"/>
      <c r="BK110" s="10309"/>
      <c r="BL110" s="10310"/>
      <c r="BM110" s="10311"/>
      <c r="BN110" s="10312"/>
      <c r="BO110" s="10313"/>
      <c r="BP110" s="10314"/>
      <c r="BQ110" s="10315"/>
      <c r="BR110" s="10316"/>
      <c r="BS110" s="10317"/>
      <c r="BT110" s="10318"/>
      <c r="BU110" s="10319"/>
      <c r="BV110" s="10320"/>
      <c r="BW110" s="10321"/>
      <c r="BX110" s="10322"/>
      <c r="BY110" s="10323"/>
      <c r="BZ110" s="10324"/>
      <c r="CA110" s="10325"/>
      <c r="CB110" s="10326"/>
      <c r="CC110" s="10327"/>
      <c r="CD110" s="10328"/>
      <c r="CE110" s="10329"/>
      <c r="CF110" s="10330"/>
      <c r="CG110" s="10331"/>
      <c r="CH110" s="10332"/>
      <c r="CI110" s="10333"/>
      <c r="CJ110" s="10334"/>
      <c r="CK110" s="10335"/>
      <c r="CL110" s="10336"/>
      <c r="CM110" s="12714"/>
      <c r="CN110" s="3253"/>
      <c r="CO110" s="3254"/>
      <c r="CP110" s="1649"/>
      <c r="CQ110" s="1631"/>
      <c r="CR110" s="1631" t="str">
        <f>IF(T110="","",T110)</f>
        <v>Добавить наименование признака дифференциации</v>
      </c>
      <c r="CS110" s="1631"/>
      <c r="CT110" s="1631"/>
      <c r="CU110" s="1642">
        <v>0</v>
      </c>
    </row>
    <row s="629" customFormat="1" customHeight="1" ht="14.25">
      <c r="A111" s="1350"/>
      <c r="B111" s="1350"/>
      <c r="C111" s="1350"/>
      <c r="D111" s="1350"/>
      <c r="E111" s="2266"/>
      <c r="F111" s="2265" t="s">
        <v>92</v>
      </c>
      <c r="G111" s="1350"/>
      <c r="H111" s="1350"/>
      <c r="I111" s="1350"/>
      <c r="J111" s="1350"/>
      <c r="K111" s="1350"/>
      <c r="L111" s="1552"/>
      <c r="M111" s="1328"/>
      <c r="N111" s="1328"/>
      <c r="O111" s="1649"/>
      <c r="P111" s="1323"/>
      <c r="Q111" s="1351"/>
      <c r="R111" s="1323"/>
      <c r="S111" s="1329"/>
      <c r="T111" s="1332" t="s">
        <v>316</v>
      </c>
      <c r="U111" s="1331"/>
      <c r="V111" s="1331"/>
      <c r="W111" s="1331"/>
      <c r="X111" s="1331"/>
      <c r="Y111" s="1331"/>
      <c r="Z111" s="1331"/>
      <c r="AA111" s="1331"/>
      <c r="AB111" s="1331"/>
      <c r="AC111" s="1331"/>
      <c r="AD111" s="1331"/>
      <c r="AE111" s="1331"/>
      <c r="AF111" s="1331"/>
      <c r="AG111" s="1331"/>
      <c r="AH111" s="1331"/>
      <c r="AI111" s="1331"/>
      <c r="AJ111" s="1331"/>
      <c r="AK111" s="1331"/>
      <c r="AL111" s="1331"/>
      <c r="AM111" s="1331"/>
      <c r="AN111" s="1331"/>
      <c r="AO111" s="1331"/>
      <c r="AP111" s="1331"/>
      <c r="AQ111" s="1331"/>
      <c r="AR111" s="1331"/>
      <c r="AS111" s="1331"/>
      <c r="AT111" s="1331"/>
      <c r="AU111" s="1331"/>
      <c r="AV111" s="1331"/>
      <c r="AW111" s="1331"/>
      <c r="AX111" s="1331"/>
      <c r="AY111" s="1331"/>
      <c r="AZ111" s="1331"/>
      <c r="BA111" s="1331"/>
      <c r="BB111" s="1331"/>
      <c r="BC111" s="1331"/>
      <c r="BD111" s="1331"/>
      <c r="BE111" s="1331"/>
      <c r="BF111" s="1331"/>
      <c r="BG111" s="1331"/>
      <c r="BH111" s="1331"/>
      <c r="BI111" s="1331"/>
      <c r="BJ111" s="1331"/>
      <c r="BK111" s="1331"/>
      <c r="BL111" s="1331"/>
      <c r="BM111" s="1331"/>
      <c r="BN111" s="1331"/>
      <c r="BO111" s="1331"/>
      <c r="BP111" s="1331"/>
      <c r="BQ111" s="1331"/>
      <c r="BR111" s="1331"/>
      <c r="BS111" s="1331"/>
      <c r="BT111" s="1331"/>
      <c r="BU111" s="1331"/>
      <c r="BV111" s="1331"/>
      <c r="BW111" s="1331"/>
      <c r="BX111" s="1331"/>
      <c r="BY111" s="1331"/>
      <c r="BZ111" s="1331"/>
      <c r="CA111" s="1331"/>
      <c r="CB111" s="1331"/>
      <c r="CC111" s="1331"/>
      <c r="CD111" s="1331"/>
      <c r="CE111" s="1331"/>
      <c r="CF111" s="1331"/>
      <c r="CG111" s="1331"/>
      <c r="CH111" s="1331"/>
      <c r="CI111" s="1331"/>
      <c r="CJ111" s="1331"/>
      <c r="CK111" s="1331"/>
      <c r="CL111" s="1331"/>
      <c r="CM111" s="1331"/>
      <c r="CN111" s="1331"/>
      <c r="CO111" s="1331"/>
      <c r="CP111" s="1649"/>
      <c r="CQ111" s="1631"/>
      <c r="CR111" s="1631" t="str">
        <f>IF(T111="","",T111)</f>
        <v>Добавить централизованную систему для дифференциации</v>
      </c>
      <c r="CS111" s="1631"/>
      <c r="CT111" s="1631"/>
      <c r="CU111" s="1649">
        <v>0</v>
      </c>
    </row>
    <row s="1857" customFormat="1" customHeight="1" ht="23.25">
      <c r="A112" s="1370"/>
      <c r="B112" s="1370" t="s">
        <v>340</v>
      </c>
      <c r="C112" s="1370"/>
      <c r="D112" s="1370"/>
      <c r="E112" s="2266"/>
      <c r="F112" s="2265" t="s">
        <v>132</v>
      </c>
      <c r="G112" s="1370"/>
      <c r="H112" s="1370"/>
      <c r="I112" s="1370"/>
      <c r="J112" s="1370"/>
      <c r="K112" s="1370"/>
      <c r="L112" s="1376"/>
      <c r="M112" s="1372"/>
      <c r="N112" s="1372"/>
      <c r="O112" s="1372"/>
      <c r="P112" s="2132"/>
      <c r="Q112" s="359"/>
      <c r="R112" s="360"/>
      <c r="S112" s="2280" t="str">
        <f>INDEX(PT_DIFFERENTIATION_NUM_TER,MATCH(B112,PT_DIFFERENTIATION_TER_ID,0))</f>
        <v>1.8</v>
      </c>
      <c r="T112" s="1529" t="s">
        <v>560</v>
      </c>
      <c r="U112" s="307"/>
      <c r="V112" s="2249"/>
      <c r="W112" s="2250"/>
      <c r="X112" s="2250"/>
      <c r="Y112" s="2250"/>
      <c r="Z112" s="2250"/>
      <c r="AA112" s="2250"/>
      <c r="AB112" s="2251"/>
      <c r="AC112" s="2249" t="str">
        <f>INDEX(PT_DIFFERENTIATION_TER,MATCH(B112,PT_DIFFERENTIATION_TER_ID,0))</f>
        <v>Территория 8</v>
      </c>
      <c r="AD112" s="2250"/>
      <c r="AE112" s="2250"/>
      <c r="AF112" s="2250"/>
      <c r="AG112" s="2250"/>
      <c r="AH112" s="2250"/>
      <c r="AI112" s="2250"/>
      <c r="AJ112" s="2249"/>
      <c r="AK112" s="2250"/>
      <c r="AL112" s="2250"/>
      <c r="AM112" s="2250"/>
      <c r="AN112" s="2250"/>
      <c r="AO112" s="2250"/>
      <c r="AP112" s="2251"/>
      <c r="AQ112" s="2249"/>
      <c r="AR112" s="2250"/>
      <c r="AS112" s="2250"/>
      <c r="AT112" s="2250"/>
      <c r="AU112" s="2250"/>
      <c r="AV112" s="2250"/>
      <c r="AW112" s="2251"/>
      <c r="AX112" s="2249"/>
      <c r="AY112" s="2250"/>
      <c r="AZ112" s="2250"/>
      <c r="BA112" s="2250"/>
      <c r="BB112" s="2250"/>
      <c r="BC112" s="2250"/>
      <c r="BD112" s="2251"/>
      <c r="BE112" s="2249"/>
      <c r="BF112" s="2250"/>
      <c r="BG112" s="2250"/>
      <c r="BH112" s="2250"/>
      <c r="BI112" s="2250"/>
      <c r="BJ112" s="2250"/>
      <c r="BK112" s="2251"/>
      <c r="BL112" s="2249"/>
      <c r="BM112" s="2250"/>
      <c r="BN112" s="2250"/>
      <c r="BO112" s="2250"/>
      <c r="BP112" s="2250"/>
      <c r="BQ112" s="2250"/>
      <c r="BR112" s="2251"/>
      <c r="BS112" s="2249"/>
      <c r="BT112" s="2250"/>
      <c r="BU112" s="2250"/>
      <c r="BV112" s="2250"/>
      <c r="BW112" s="2250"/>
      <c r="BX112" s="2250"/>
      <c r="BY112" s="2251"/>
      <c r="BZ112" s="2249"/>
      <c r="CA112" s="2250"/>
      <c r="CB112" s="2250"/>
      <c r="CC112" s="2250"/>
      <c r="CD112" s="2250"/>
      <c r="CE112" s="2250"/>
      <c r="CF112" s="2251"/>
      <c r="CG112" s="2249"/>
      <c r="CH112" s="2250"/>
      <c r="CI112" s="2250"/>
      <c r="CJ112" s="2250"/>
      <c r="CK112" s="2250"/>
      <c r="CL112" s="2250"/>
      <c r="CM112" s="4492"/>
      <c r="CN112" s="2251"/>
      <c r="CO112" s="1265" t="s">
        <v>561</v>
      </c>
      <c r="CP112" s="1649"/>
      <c r="CQ112" s="1631"/>
      <c r="CR112" s="1631" t="str">
        <f>IF(T112="","",T112)</f>
        <v>Территория действия тарифа</v>
      </c>
      <c r="CS112" s="1631"/>
      <c r="CT112" s="1631"/>
      <c r="CU112" s="1642">
        <v>0</v>
      </c>
    </row>
    <row s="1857" customFormat="1" customHeight="1" ht="23.25">
      <c r="A113" s="1370"/>
      <c r="B113" s="1370"/>
      <c r="C113" s="1370" t="s">
        <v>341</v>
      </c>
      <c r="D113" s="1370"/>
      <c r="E113" s="2266"/>
      <c r="F113" s="2266" t="s">
        <v>93</v>
      </c>
      <c r="G113" s="2265">
        <v>1</v>
      </c>
      <c r="H113" s="1370"/>
      <c r="I113" s="1370"/>
      <c r="J113" s="1370"/>
      <c r="K113" s="1370"/>
      <c r="L113" s="1376"/>
      <c r="M113" s="1372"/>
      <c r="N113" s="1372"/>
      <c r="O113" s="1372"/>
      <c r="P113" s="361"/>
      <c r="Q113" s="359"/>
      <c r="R113" s="360"/>
      <c r="S113" s="2280" t="str">
        <f>INDEX(PT_DIFFERENTIATION_NUM_CS,MATCH(C113,PT_DIFFERENTIATION_CS_ID,0))</f>
        <v>1.8.1</v>
      </c>
      <c r="T113" s="316" t="s">
        <v>641</v>
      </c>
      <c r="U113" s="307"/>
      <c r="V113" s="2249"/>
      <c r="W113" s="2250"/>
      <c r="X113" s="2250"/>
      <c r="Y113" s="2250"/>
      <c r="Z113" s="2250"/>
      <c r="AA113" s="2250"/>
      <c r="AB113" s="2251"/>
      <c r="AC113" s="2249" t="str">
        <f>INDEX(PT_DIFFERENTIATION_CS,MATCH(C113,PT_DIFFERENTIATION_CS_ID,0))</f>
        <v>Ивнянский район</v>
      </c>
      <c r="AD113" s="2250"/>
      <c r="AE113" s="2250"/>
      <c r="AF113" s="2250"/>
      <c r="AG113" s="2250"/>
      <c r="AH113" s="2250"/>
      <c r="AI113" s="2250"/>
      <c r="AJ113" s="2249"/>
      <c r="AK113" s="2250"/>
      <c r="AL113" s="2250"/>
      <c r="AM113" s="2250"/>
      <c r="AN113" s="2250"/>
      <c r="AO113" s="2250"/>
      <c r="AP113" s="2251"/>
      <c r="AQ113" s="2249"/>
      <c r="AR113" s="2250"/>
      <c r="AS113" s="2250"/>
      <c r="AT113" s="2250"/>
      <c r="AU113" s="2250"/>
      <c r="AV113" s="2250"/>
      <c r="AW113" s="2251"/>
      <c r="AX113" s="2249"/>
      <c r="AY113" s="2250"/>
      <c r="AZ113" s="2250"/>
      <c r="BA113" s="2250"/>
      <c r="BB113" s="2250"/>
      <c r="BC113" s="2250"/>
      <c r="BD113" s="2251"/>
      <c r="BE113" s="2249"/>
      <c r="BF113" s="2250"/>
      <c r="BG113" s="2250"/>
      <c r="BH113" s="2250"/>
      <c r="BI113" s="2250"/>
      <c r="BJ113" s="2250"/>
      <c r="BK113" s="2251"/>
      <c r="BL113" s="2249"/>
      <c r="BM113" s="2250"/>
      <c r="BN113" s="2250"/>
      <c r="BO113" s="2250"/>
      <c r="BP113" s="2250"/>
      <c r="BQ113" s="2250"/>
      <c r="BR113" s="2251"/>
      <c r="BS113" s="2249"/>
      <c r="BT113" s="2250"/>
      <c r="BU113" s="2250"/>
      <c r="BV113" s="2250"/>
      <c r="BW113" s="2250"/>
      <c r="BX113" s="2250"/>
      <c r="BY113" s="2251"/>
      <c r="BZ113" s="2249"/>
      <c r="CA113" s="2250"/>
      <c r="CB113" s="2250"/>
      <c r="CC113" s="2250"/>
      <c r="CD113" s="2250"/>
      <c r="CE113" s="2250"/>
      <c r="CF113" s="2251"/>
      <c r="CG113" s="2249"/>
      <c r="CH113" s="2250"/>
      <c r="CI113" s="2250"/>
      <c r="CJ113" s="2250"/>
      <c r="CK113" s="2250"/>
      <c r="CL113" s="2250"/>
      <c r="CM113" s="4492"/>
      <c r="CN113" s="2251"/>
      <c r="CO113" s="1265" t="s">
        <v>642</v>
      </c>
      <c r="CP113" s="1649"/>
      <c r="CQ113" s="1631"/>
      <c r="CR113" s="1631" t="str">
        <f>IF(T113="","",T113)</f>
        <v>Наименование централизованной системы холодного водоснабжения</v>
      </c>
      <c r="CS113" s="1631"/>
      <c r="CT113" s="1631"/>
      <c r="CU113" s="1642">
        <v>0</v>
      </c>
    </row>
    <row s="1857" customFormat="1" customHeight="1" ht="23.25">
      <c r="A114" s="1370"/>
      <c r="B114" s="1370"/>
      <c r="C114" s="1370"/>
      <c r="D114" s="1370"/>
      <c r="E114" s="2266"/>
      <c r="F114" s="2266" t="s">
        <v>93</v>
      </c>
      <c r="G114" s="2266"/>
      <c r="H114" s="2266"/>
      <c r="I114" s="2263" t="str">
        <f>S113&amp;".1"</f>
        <v>1.8.1.1</v>
      </c>
      <c r="J114" s="1370"/>
      <c r="K114" s="1370"/>
      <c r="L114" s="1376"/>
      <c r="M114" s="1783"/>
      <c r="N114" s="1783"/>
      <c r="O114" s="1783"/>
      <c r="P114" s="2381">
        <v>1</v>
      </c>
      <c r="Q114" s="2381"/>
      <c r="R114" s="363"/>
      <c r="S114" s="2280" t="str">
        <f>$I114</f>
        <v>1.8.1.1</v>
      </c>
      <c r="T114" s="292" t="s">
        <v>643</v>
      </c>
      <c r="U114" s="307"/>
      <c r="V114" s="2357"/>
      <c r="W114" s="2358"/>
      <c r="X114" s="2358"/>
      <c r="Y114" s="2358"/>
      <c r="Z114" s="2358"/>
      <c r="AA114" s="2358"/>
      <c r="AB114" s="2359"/>
      <c r="AC114" s="2360" t="s">
        <v>135</v>
      </c>
      <c r="AD114" s="2361"/>
      <c r="AE114" s="2361"/>
      <c r="AF114" s="2361"/>
      <c r="AG114" s="2361"/>
      <c r="AH114" s="2361"/>
      <c r="AI114" s="2361"/>
      <c r="AJ114" s="2357"/>
      <c r="AK114" s="2358"/>
      <c r="AL114" s="2358"/>
      <c r="AM114" s="2358"/>
      <c r="AN114" s="2358"/>
      <c r="AO114" s="2358"/>
      <c r="AP114" s="2359"/>
      <c r="AQ114" s="2357"/>
      <c r="AR114" s="2358"/>
      <c r="AS114" s="2358"/>
      <c r="AT114" s="2358"/>
      <c r="AU114" s="2358"/>
      <c r="AV114" s="2358"/>
      <c r="AW114" s="2359"/>
      <c r="AX114" s="2357"/>
      <c r="AY114" s="2358"/>
      <c r="AZ114" s="2358"/>
      <c r="BA114" s="2358"/>
      <c r="BB114" s="2358"/>
      <c r="BC114" s="2358"/>
      <c r="BD114" s="2359"/>
      <c r="BE114" s="2357"/>
      <c r="BF114" s="2358"/>
      <c r="BG114" s="2358"/>
      <c r="BH114" s="2358"/>
      <c r="BI114" s="2358"/>
      <c r="BJ114" s="2358"/>
      <c r="BK114" s="2359"/>
      <c r="BL114" s="2357"/>
      <c r="BM114" s="2358"/>
      <c r="BN114" s="2358"/>
      <c r="BO114" s="2358"/>
      <c r="BP114" s="2358"/>
      <c r="BQ114" s="2358"/>
      <c r="BR114" s="2359"/>
      <c r="BS114" s="2357"/>
      <c r="BT114" s="2358"/>
      <c r="BU114" s="2358"/>
      <c r="BV114" s="2358"/>
      <c r="BW114" s="2358"/>
      <c r="BX114" s="2358"/>
      <c r="BY114" s="2359"/>
      <c r="BZ114" s="2357"/>
      <c r="CA114" s="2358"/>
      <c r="CB114" s="2358"/>
      <c r="CC114" s="2358"/>
      <c r="CD114" s="2358"/>
      <c r="CE114" s="2358"/>
      <c r="CF114" s="2359"/>
      <c r="CG114" s="2357"/>
      <c r="CH114" s="2358"/>
      <c r="CI114" s="2358"/>
      <c r="CJ114" s="2358"/>
      <c r="CK114" s="2358"/>
      <c r="CL114" s="2358"/>
      <c r="CM114" s="4495"/>
      <c r="CN114" s="2362"/>
      <c r="CO114" s="1265" t="s">
        <v>644</v>
      </c>
      <c r="CP114" s="1649"/>
      <c r="CQ114" s="1631"/>
      <c r="CR114" s="1631" t="str">
        <f>IF(T114="","",T114)</f>
        <v>Наименование признака дифференциации</v>
      </c>
      <c r="CS114" s="1631"/>
      <c r="CT114" s="1631"/>
      <c r="CU114" s="1642">
        <v>0</v>
      </c>
    </row>
    <row s="1857" customFormat="1" customHeight="1" ht="23.25">
      <c r="A115" s="1370"/>
      <c r="B115" s="1370"/>
      <c r="C115" s="1370"/>
      <c r="D115" s="1370"/>
      <c r="E115" s="2266"/>
      <c r="F115" s="2266" t="s">
        <v>93</v>
      </c>
      <c r="G115" s="2266"/>
      <c r="H115" s="2266"/>
      <c r="I115" s="2293"/>
      <c r="J115" s="2263" t="str">
        <f>I114&amp;".1"</f>
        <v>1.8.1.1.1</v>
      </c>
      <c r="K115" s="1370"/>
      <c r="L115" s="1376" t="s">
        <v>569</v>
      </c>
      <c r="M115" s="1783"/>
      <c r="N115" s="1783"/>
      <c r="O115" s="1783"/>
      <c r="P115" s="2381"/>
      <c r="Q115" s="2381">
        <v>1</v>
      </c>
      <c r="R115" s="364"/>
      <c r="S115" s="2280" t="str">
        <f>$J115</f>
        <v>1.8.1.1.1</v>
      </c>
      <c r="T115" s="293" t="s">
        <v>570</v>
      </c>
      <c r="U115" s="307"/>
      <c r="V115" s="2252"/>
      <c r="W115" s="2253"/>
      <c r="X115" s="2253"/>
      <c r="Y115" s="2253"/>
      <c r="Z115" s="2253"/>
      <c r="AA115" s="2253"/>
      <c r="AB115" s="2254"/>
      <c r="AC115" s="2252" t="s">
        <v>656</v>
      </c>
      <c r="AD115" s="2253"/>
      <c r="AE115" s="2253"/>
      <c r="AF115" s="2253"/>
      <c r="AG115" s="2253"/>
      <c r="AH115" s="2253"/>
      <c r="AI115" s="2253"/>
      <c r="AJ115" s="2252"/>
      <c r="AK115" s="2253"/>
      <c r="AL115" s="2253"/>
      <c r="AM115" s="2253"/>
      <c r="AN115" s="2253"/>
      <c r="AO115" s="2253"/>
      <c r="AP115" s="2254"/>
      <c r="AQ115" s="2252"/>
      <c r="AR115" s="2253"/>
      <c r="AS115" s="2253"/>
      <c r="AT115" s="2253"/>
      <c r="AU115" s="2253"/>
      <c r="AV115" s="2253"/>
      <c r="AW115" s="2254"/>
      <c r="AX115" s="2252"/>
      <c r="AY115" s="2253"/>
      <c r="AZ115" s="2253"/>
      <c r="BA115" s="2253"/>
      <c r="BB115" s="2253"/>
      <c r="BC115" s="2253"/>
      <c r="BD115" s="2254"/>
      <c r="BE115" s="2252"/>
      <c r="BF115" s="2253"/>
      <c r="BG115" s="2253"/>
      <c r="BH115" s="2253"/>
      <c r="BI115" s="2253"/>
      <c r="BJ115" s="2253"/>
      <c r="BK115" s="2254"/>
      <c r="BL115" s="2252"/>
      <c r="BM115" s="2253"/>
      <c r="BN115" s="2253"/>
      <c r="BO115" s="2253"/>
      <c r="BP115" s="2253"/>
      <c r="BQ115" s="2253"/>
      <c r="BR115" s="2254"/>
      <c r="BS115" s="2252"/>
      <c r="BT115" s="2253"/>
      <c r="BU115" s="2253"/>
      <c r="BV115" s="2253"/>
      <c r="BW115" s="2253"/>
      <c r="BX115" s="2253"/>
      <c r="BY115" s="2254"/>
      <c r="BZ115" s="2252"/>
      <c r="CA115" s="2253"/>
      <c r="CB115" s="2253"/>
      <c r="CC115" s="2253"/>
      <c r="CD115" s="2253"/>
      <c r="CE115" s="2253"/>
      <c r="CF115" s="2254"/>
      <c r="CG115" s="2252"/>
      <c r="CH115" s="2253"/>
      <c r="CI115" s="2253"/>
      <c r="CJ115" s="2253"/>
      <c r="CK115" s="2253"/>
      <c r="CL115" s="2253"/>
      <c r="CM115" s="4498"/>
      <c r="CN115" s="2254"/>
      <c r="CO115" s="1314" t="s">
        <v>645</v>
      </c>
      <c r="CP115" s="1649"/>
      <c r="CQ115" s="1631"/>
      <c r="CR115" s="1631" t="str">
        <f>IF(T115="","",T115)</f>
        <v>Группа потребителей</v>
      </c>
      <c r="CS115" s="1631"/>
      <c r="CT115" s="1631"/>
      <c r="CU115" s="1642">
        <v>0</v>
      </c>
    </row>
    <row s="1857" customFormat="1" customHeight="1" ht="23.25">
      <c r="A116" s="1370"/>
      <c r="B116" s="1370"/>
      <c r="C116" s="1370"/>
      <c r="D116" s="1370"/>
      <c r="E116" s="2266"/>
      <c r="F116" s="2266" t="s">
        <v>93</v>
      </c>
      <c r="G116" s="2266"/>
      <c r="H116" s="2266"/>
      <c r="I116" s="2293"/>
      <c r="J116" s="2293"/>
      <c r="K116" s="2263" t="str">
        <f>J115&amp;".1"</f>
        <v>1.8.1.1.1.1</v>
      </c>
      <c r="L116" s="1376"/>
      <c r="M116" s="1783"/>
      <c r="N116" s="1783"/>
      <c r="O116" s="1783"/>
      <c r="P116" s="2381"/>
      <c r="Q116" s="2381"/>
      <c r="R116" s="364">
        <v>1</v>
      </c>
      <c r="S116" s="2280" t="str">
        <f>$K116</f>
        <v>1.8.1.1.1.1</v>
      </c>
      <c r="T116" s="1444" t="s">
        <v>657</v>
      </c>
      <c r="U116" s="307"/>
      <c r="V116" s="758"/>
      <c r="W116" s="758"/>
      <c r="X116" s="1264"/>
      <c r="Y116" s="2609"/>
      <c r="Z116" s="2114" t="s">
        <v>66</v>
      </c>
      <c r="AA116" s="2609"/>
      <c r="AB116" s="2114" t="s">
        <v>66</v>
      </c>
      <c r="AC116" s="758">
        <v>31.98</v>
      </c>
      <c r="AD116" s="758"/>
      <c r="AE116" s="1264"/>
      <c r="AF116" s="2609">
        <v>44896</v>
      </c>
      <c r="AG116" s="2114" t="s">
        <v>66</v>
      </c>
      <c r="AH116" s="2294">
        <v>45291</v>
      </c>
      <c r="AI116" s="2114" t="s">
        <v>66</v>
      </c>
      <c r="AJ116" s="758">
        <v>31.98</v>
      </c>
      <c r="AK116" s="758"/>
      <c r="AL116" s="1264"/>
      <c r="AM116" s="2609">
        <v>45292</v>
      </c>
      <c r="AN116" s="2114" t="s">
        <v>66</v>
      </c>
      <c r="AO116" s="2609">
        <v>45473</v>
      </c>
      <c r="AP116" s="2114" t="s">
        <v>66</v>
      </c>
      <c r="AQ116" s="758">
        <v>36.45</v>
      </c>
      <c r="AR116" s="758"/>
      <c r="AS116" s="1264"/>
      <c r="AT116" s="2609">
        <v>45474</v>
      </c>
      <c r="AU116" s="2114" t="s">
        <v>66</v>
      </c>
      <c r="AV116" s="2609">
        <v>45657</v>
      </c>
      <c r="AW116" s="2114" t="s">
        <v>66</v>
      </c>
      <c r="AX116" s="758">
        <v>36.45</v>
      </c>
      <c r="AY116" s="758"/>
      <c r="AZ116" s="1264"/>
      <c r="BA116" s="2609">
        <v>45658</v>
      </c>
      <c r="BB116" s="2114" t="s">
        <v>66</v>
      </c>
      <c r="BC116" s="2609">
        <v>45838</v>
      </c>
      <c r="BD116" s="2114" t="s">
        <v>66</v>
      </c>
      <c r="BE116" s="758">
        <v>75.6</v>
      </c>
      <c r="BF116" s="758"/>
      <c r="BG116" s="1264"/>
      <c r="BH116" s="2609">
        <v>45839</v>
      </c>
      <c r="BI116" s="2114" t="s">
        <v>66</v>
      </c>
      <c r="BJ116" s="2609">
        <v>46022</v>
      </c>
      <c r="BK116" s="2114" t="s">
        <v>66</v>
      </c>
      <c r="BL116" s="758">
        <v>34.86</v>
      </c>
      <c r="BM116" s="758"/>
      <c r="BN116" s="1264"/>
      <c r="BO116" s="2609">
        <v>46023</v>
      </c>
      <c r="BP116" s="2114" t="s">
        <v>66</v>
      </c>
      <c r="BQ116" s="2609">
        <v>46203</v>
      </c>
      <c r="BR116" s="2114" t="s">
        <v>66</v>
      </c>
      <c r="BS116" s="758">
        <v>37.61</v>
      </c>
      <c r="BT116" s="758"/>
      <c r="BU116" s="1264"/>
      <c r="BV116" s="2609">
        <v>46204</v>
      </c>
      <c r="BW116" s="2114" t="s">
        <v>66</v>
      </c>
      <c r="BX116" s="2609">
        <v>46387</v>
      </c>
      <c r="BY116" s="2114" t="s">
        <v>66</v>
      </c>
      <c r="BZ116" s="758">
        <v>37.61</v>
      </c>
      <c r="CA116" s="758"/>
      <c r="CB116" s="1264"/>
      <c r="CC116" s="2609">
        <v>46388</v>
      </c>
      <c r="CD116" s="2114" t="s">
        <v>66</v>
      </c>
      <c r="CE116" s="2609">
        <v>46568</v>
      </c>
      <c r="CF116" s="2114" t="s">
        <v>66</v>
      </c>
      <c r="CG116" s="758">
        <v>37.72</v>
      </c>
      <c r="CH116" s="758"/>
      <c r="CI116" s="1264"/>
      <c r="CJ116" s="2609">
        <v>46569</v>
      </c>
      <c r="CK116" s="2114" t="s">
        <v>66</v>
      </c>
      <c r="CL116" s="2609">
        <v>46752</v>
      </c>
      <c r="CM116" s="2114" t="s">
        <v>66</v>
      </c>
      <c r="CN116" s="1445"/>
      <c r="CO11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16" s="1649">
        <f>STRCHECKDATE(V117:CN117)</f>
      </c>
      <c r="CQ116" s="1631"/>
      <c r="CR116" s="1631" t="str">
        <f>IF(T116="","",T116)</f>
        <v>Тариф по водоснабжению без НДС</v>
      </c>
      <c r="CS116" s="1631"/>
      <c r="CT116" s="1631"/>
      <c r="CU116" s="1642">
        <v>0</v>
      </c>
    </row>
    <row s="1857" customFormat="1" customHeight="1" ht="14.25">
      <c r="A117" s="1370"/>
      <c r="B117" s="1370"/>
      <c r="C117" s="1370"/>
      <c r="D117" s="1370"/>
      <c r="E117" s="2266"/>
      <c r="F117" s="2266" t="s">
        <v>93</v>
      </c>
      <c r="G117" s="2266"/>
      <c r="H117" s="2266"/>
      <c r="I117" s="2293"/>
      <c r="J117" s="2293"/>
      <c r="K117" s="2263"/>
      <c r="L117" s="1376"/>
      <c r="M117" s="1783"/>
      <c r="N117" s="1783"/>
      <c r="O117" s="1783"/>
      <c r="P117" s="2381"/>
      <c r="Q117" s="2381"/>
      <c r="R117" s="364"/>
      <c r="S117" s="2520"/>
      <c r="T117" s="307"/>
      <c r="U117" s="307"/>
      <c r="V117" s="332"/>
      <c r="W117" s="332"/>
      <c r="X117" s="335" t="str">
        <f>Y116&amp;"-"&amp;AA116</f>
        <v>-</v>
      </c>
      <c r="Y117" s="2316"/>
      <c r="Z117" s="2114"/>
      <c r="AA117" s="2316"/>
      <c r="AB117" s="2114"/>
      <c r="AC117" s="332"/>
      <c r="AD117" s="332"/>
      <c r="AE117" s="335" t="str">
        <f>AF116&amp;"-"&amp;AH116</f>
        <v>44896-45291</v>
      </c>
      <c r="AF117" s="2316"/>
      <c r="AG117" s="2114"/>
      <c r="AH117" s="2295"/>
      <c r="AI117" s="2114"/>
      <c r="AJ117" s="332"/>
      <c r="AK117" s="332"/>
      <c r="AL117" s="335" t="str">
        <f>AM116&amp;"-"&amp;AO116</f>
        <v>45292-45473</v>
      </c>
      <c r="AM117" s="2316"/>
      <c r="AN117" s="2114"/>
      <c r="AO117" s="2316"/>
      <c r="AP117" s="2114"/>
      <c r="AQ117" s="332"/>
      <c r="AR117" s="332"/>
      <c r="AS117" s="335" t="str">
        <f>AT116&amp;"-"&amp;AV116</f>
        <v>45474-45657</v>
      </c>
      <c r="AT117" s="2316"/>
      <c r="AU117" s="2114"/>
      <c r="AV117" s="2316"/>
      <c r="AW117" s="2114"/>
      <c r="AX117" s="332"/>
      <c r="AY117" s="332"/>
      <c r="AZ117" s="335" t="str">
        <f>BA116&amp;"-"&amp;BC116</f>
        <v>45658-45838</v>
      </c>
      <c r="BA117" s="2316"/>
      <c r="BB117" s="2114"/>
      <c r="BC117" s="2316"/>
      <c r="BD117" s="2114"/>
      <c r="BE117" s="332"/>
      <c r="BF117" s="332"/>
      <c r="BG117" s="335" t="str">
        <f>BH116&amp;"-"&amp;BJ116</f>
        <v>45839-46022</v>
      </c>
      <c r="BH117" s="2316"/>
      <c r="BI117" s="2114"/>
      <c r="BJ117" s="2316"/>
      <c r="BK117" s="2114"/>
      <c r="BL117" s="332"/>
      <c r="BM117" s="332"/>
      <c r="BN117" s="335" t="str">
        <f>BO116&amp;"-"&amp;BQ116</f>
        <v>46023-46203</v>
      </c>
      <c r="BO117" s="2316"/>
      <c r="BP117" s="2114"/>
      <c r="BQ117" s="2316"/>
      <c r="BR117" s="2114"/>
      <c r="BS117" s="332"/>
      <c r="BT117" s="332"/>
      <c r="BU117" s="335" t="str">
        <f>BV116&amp;"-"&amp;BX116</f>
        <v>46204-46387</v>
      </c>
      <c r="BV117" s="2316"/>
      <c r="BW117" s="2114"/>
      <c r="BX117" s="2316"/>
      <c r="BY117" s="2114"/>
      <c r="BZ117" s="332"/>
      <c r="CA117" s="332"/>
      <c r="CB117" s="335" t="str">
        <f>CC116&amp;"-"&amp;CE116</f>
        <v>46388-46568</v>
      </c>
      <c r="CC117" s="2316"/>
      <c r="CD117" s="2114"/>
      <c r="CE117" s="2316"/>
      <c r="CF117" s="2114"/>
      <c r="CG117" s="332"/>
      <c r="CH117" s="332"/>
      <c r="CI117" s="335" t="str">
        <f>CJ116&amp;"-"&amp;CL116</f>
        <v>46569-46752</v>
      </c>
      <c r="CJ117" s="2316"/>
      <c r="CK117" s="2114"/>
      <c r="CL117" s="2316"/>
      <c r="CM117" s="2114"/>
      <c r="CN117" s="1446"/>
      <c r="CO117" s="2356"/>
      <c r="CP117" s="1649"/>
      <c r="CQ117" s="1631"/>
      <c r="CR117" s="1631" t="str">
        <f>IF(T117="","",T117)</f>
        <v/>
      </c>
      <c r="CS117" s="1631"/>
      <c r="CT117" s="1631"/>
      <c r="CU117" s="1642">
        <v>0</v>
      </c>
    </row>
    <row s="1857" customFormat="1" customHeight="1" ht="21">
      <c r="A118" s="1370"/>
      <c r="B118" s="1370"/>
      <c r="C118" s="1370"/>
      <c r="D118" s="1370"/>
      <c r="E118" s="2266"/>
      <c r="F118" s="2266" t="s">
        <v>93</v>
      </c>
      <c r="G118" s="2266"/>
      <c r="H118" s="2266"/>
      <c r="I118" s="2293"/>
      <c r="J118" s="2263"/>
      <c r="K118" s="1370"/>
      <c r="L118" s="1376"/>
      <c r="M118" s="1783"/>
      <c r="N118" s="1783"/>
      <c r="O118" s="1783"/>
      <c r="P118" s="2381"/>
      <c r="Q118" s="2381"/>
      <c r="R118" s="363"/>
      <c r="S118" s="3255"/>
      <c r="T118" s="3256" t="s">
        <v>646</v>
      </c>
      <c r="U118" s="3257"/>
      <c r="V118" s="3258"/>
      <c r="W118" s="3259"/>
      <c r="X118" s="3260"/>
      <c r="Y118" s="3261"/>
      <c r="Z118" s="3262"/>
      <c r="AA118" s="3263"/>
      <c r="AB118" s="3264"/>
      <c r="AC118" s="3265"/>
      <c r="AD118" s="3266"/>
      <c r="AE118" s="3267"/>
      <c r="AF118" s="3268"/>
      <c r="AG118" s="3269"/>
      <c r="AH118" s="3270"/>
      <c r="AI118" s="3271"/>
      <c r="AJ118" s="10338"/>
      <c r="AK118" s="10339"/>
      <c r="AL118" s="10340"/>
      <c r="AM118" s="10341"/>
      <c r="AN118" s="10342"/>
      <c r="AO118" s="10343"/>
      <c r="AP118" s="10344"/>
      <c r="AQ118" s="10345"/>
      <c r="AR118" s="10346"/>
      <c r="AS118" s="10347"/>
      <c r="AT118" s="10348"/>
      <c r="AU118" s="10349"/>
      <c r="AV118" s="10350"/>
      <c r="AW118" s="10351"/>
      <c r="AX118" s="10352"/>
      <c r="AY118" s="10353"/>
      <c r="AZ118" s="10354"/>
      <c r="BA118" s="10355"/>
      <c r="BB118" s="10356"/>
      <c r="BC118" s="10357"/>
      <c r="BD118" s="10358"/>
      <c r="BE118" s="10359"/>
      <c r="BF118" s="10360"/>
      <c r="BG118" s="10361"/>
      <c r="BH118" s="10362"/>
      <c r="BI118" s="10363"/>
      <c r="BJ118" s="10364"/>
      <c r="BK118" s="10365"/>
      <c r="BL118" s="10366"/>
      <c r="BM118" s="10367"/>
      <c r="BN118" s="10368"/>
      <c r="BO118" s="10369"/>
      <c r="BP118" s="10370"/>
      <c r="BQ118" s="10371"/>
      <c r="BR118" s="10372"/>
      <c r="BS118" s="10373"/>
      <c r="BT118" s="10374"/>
      <c r="BU118" s="10375"/>
      <c r="BV118" s="10376"/>
      <c r="BW118" s="10377"/>
      <c r="BX118" s="10378"/>
      <c r="BY118" s="10379"/>
      <c r="BZ118" s="10380"/>
      <c r="CA118" s="10381"/>
      <c r="CB118" s="10382"/>
      <c r="CC118" s="10383"/>
      <c r="CD118" s="10384"/>
      <c r="CE118" s="10385"/>
      <c r="CF118" s="10386"/>
      <c r="CG118" s="10387"/>
      <c r="CH118" s="10388"/>
      <c r="CI118" s="10389"/>
      <c r="CJ118" s="10390"/>
      <c r="CK118" s="10391"/>
      <c r="CL118" s="10392"/>
      <c r="CM118" s="12715"/>
      <c r="CN118" s="3279"/>
      <c r="CO118" s="1265" t="s">
        <v>647</v>
      </c>
      <c r="CP118" s="1649"/>
      <c r="CQ118" s="1631"/>
      <c r="CR118" s="1631" t="str">
        <f>IF(T118="","",T118)</f>
        <v>Добавить значение признака дифференциации</v>
      </c>
      <c r="CS118" s="1631"/>
      <c r="CT118" s="1631"/>
      <c r="CU118" s="1642">
        <v>0</v>
      </c>
    </row>
    <row s="1857" customFormat="1" customHeight="1" ht="21">
      <c r="A119" s="1370"/>
      <c r="B119" s="1370"/>
      <c r="C119" s="1370"/>
      <c r="D119" s="1370"/>
      <c r="E119" s="2266"/>
      <c r="F119" s="2266" t="s">
        <v>93</v>
      </c>
      <c r="G119" s="2266"/>
      <c r="H119" s="2266"/>
      <c r="I119" s="2263"/>
      <c r="J119" s="1370"/>
      <c r="K119" s="1370"/>
      <c r="L119" s="1376"/>
      <c r="M119" s="1783"/>
      <c r="N119" s="1783"/>
      <c r="O119" s="1783"/>
      <c r="P119" s="2381"/>
      <c r="Q119" s="2381"/>
      <c r="R119" s="363"/>
      <c r="S119" s="3280"/>
      <c r="T119" s="3281" t="s">
        <v>575</v>
      </c>
      <c r="U119" s="3282"/>
      <c r="V119" s="3283"/>
      <c r="W119" s="3284"/>
      <c r="X119" s="3285"/>
      <c r="Y119" s="3286"/>
      <c r="Z119" s="3287"/>
      <c r="AA119" s="3288"/>
      <c r="AB119" s="3289"/>
      <c r="AC119" s="3290"/>
      <c r="AD119" s="3291"/>
      <c r="AE119" s="3292"/>
      <c r="AF119" s="3293"/>
      <c r="AG119" s="3294"/>
      <c r="AH119" s="3295"/>
      <c r="AI119" s="3296"/>
      <c r="AJ119" s="10394"/>
      <c r="AK119" s="10395"/>
      <c r="AL119" s="10396"/>
      <c r="AM119" s="10397"/>
      <c r="AN119" s="10398"/>
      <c r="AO119" s="10399"/>
      <c r="AP119" s="10400"/>
      <c r="AQ119" s="10401"/>
      <c r="AR119" s="10402"/>
      <c r="AS119" s="10403"/>
      <c r="AT119" s="10404"/>
      <c r="AU119" s="10405"/>
      <c r="AV119" s="10406"/>
      <c r="AW119" s="10407"/>
      <c r="AX119" s="10408"/>
      <c r="AY119" s="10409"/>
      <c r="AZ119" s="10410"/>
      <c r="BA119" s="10411"/>
      <c r="BB119" s="10412"/>
      <c r="BC119" s="10413"/>
      <c r="BD119" s="10414"/>
      <c r="BE119" s="10415"/>
      <c r="BF119" s="10416"/>
      <c r="BG119" s="10417"/>
      <c r="BH119" s="10418"/>
      <c r="BI119" s="10419"/>
      <c r="BJ119" s="10420"/>
      <c r="BK119" s="10421"/>
      <c r="BL119" s="10422"/>
      <c r="BM119" s="10423"/>
      <c r="BN119" s="10424"/>
      <c r="BO119" s="10425"/>
      <c r="BP119" s="10426"/>
      <c r="BQ119" s="10427"/>
      <c r="BR119" s="10428"/>
      <c r="BS119" s="10429"/>
      <c r="BT119" s="10430"/>
      <c r="BU119" s="10431"/>
      <c r="BV119" s="10432"/>
      <c r="BW119" s="10433"/>
      <c r="BX119" s="10434"/>
      <c r="BY119" s="10435"/>
      <c r="BZ119" s="10436"/>
      <c r="CA119" s="10437"/>
      <c r="CB119" s="10438"/>
      <c r="CC119" s="10439"/>
      <c r="CD119" s="10440"/>
      <c r="CE119" s="10441"/>
      <c r="CF119" s="10442"/>
      <c r="CG119" s="10443"/>
      <c r="CH119" s="10444"/>
      <c r="CI119" s="10445"/>
      <c r="CJ119" s="10446"/>
      <c r="CK119" s="10447"/>
      <c r="CL119" s="10448"/>
      <c r="CM119" s="12716"/>
      <c r="CN119" s="3304"/>
      <c r="CO119" s="3305"/>
      <c r="CP119" s="1649"/>
      <c r="CQ119" s="1631"/>
      <c r="CR119" s="1631" t="str">
        <f>IF(T119="","",T119)</f>
        <v>Добавить группу потребителей</v>
      </c>
      <c r="CS119" s="1631"/>
      <c r="CT119" s="1631"/>
      <c r="CU119" s="1642">
        <v>0</v>
      </c>
    </row>
    <row s="1857" customFormat="1" customHeight="1" ht="14.25">
      <c r="A120" s="1370"/>
      <c r="B120" s="1370"/>
      <c r="C120" s="1370"/>
      <c r="D120" s="1370"/>
      <c r="E120" s="2266"/>
      <c r="F120" s="2266" t="s">
        <v>93</v>
      </c>
      <c r="G120" s="2266"/>
      <c r="H120" s="2265"/>
      <c r="I120" s="1370"/>
      <c r="J120" s="1370"/>
      <c r="K120" s="1370"/>
      <c r="L120" s="1376"/>
      <c r="M120" s="1372"/>
      <c r="N120" s="1372"/>
      <c r="O120" s="1373"/>
      <c r="P120" s="1830"/>
      <c r="Q120" s="382"/>
      <c r="R120" s="362"/>
      <c r="S120" s="3306"/>
      <c r="T120" s="3307" t="s">
        <v>648</v>
      </c>
      <c r="U120" s="3308"/>
      <c r="V120" s="3309"/>
      <c r="W120" s="3310"/>
      <c r="X120" s="3311"/>
      <c r="Y120" s="3312"/>
      <c r="Z120" s="3313"/>
      <c r="AA120" s="3314"/>
      <c r="AB120" s="3315"/>
      <c r="AC120" s="3316"/>
      <c r="AD120" s="3317"/>
      <c r="AE120" s="3318"/>
      <c r="AF120" s="3319"/>
      <c r="AG120" s="3320"/>
      <c r="AH120" s="3321"/>
      <c r="AI120" s="3322"/>
      <c r="AJ120" s="10450"/>
      <c r="AK120" s="10451"/>
      <c r="AL120" s="10452"/>
      <c r="AM120" s="10453"/>
      <c r="AN120" s="10454"/>
      <c r="AO120" s="10455"/>
      <c r="AP120" s="10456"/>
      <c r="AQ120" s="10457"/>
      <c r="AR120" s="10458"/>
      <c r="AS120" s="10459"/>
      <c r="AT120" s="10460"/>
      <c r="AU120" s="10461"/>
      <c r="AV120" s="10462"/>
      <c r="AW120" s="10463"/>
      <c r="AX120" s="10464"/>
      <c r="AY120" s="10465"/>
      <c r="AZ120" s="10466"/>
      <c r="BA120" s="10467"/>
      <c r="BB120" s="10468"/>
      <c r="BC120" s="10469"/>
      <c r="BD120" s="10470"/>
      <c r="BE120" s="10471"/>
      <c r="BF120" s="10472"/>
      <c r="BG120" s="10473"/>
      <c r="BH120" s="10474"/>
      <c r="BI120" s="10475"/>
      <c r="BJ120" s="10476"/>
      <c r="BK120" s="10477"/>
      <c r="BL120" s="10478"/>
      <c r="BM120" s="10479"/>
      <c r="BN120" s="10480"/>
      <c r="BO120" s="10481"/>
      <c r="BP120" s="10482"/>
      <c r="BQ120" s="10483"/>
      <c r="BR120" s="10484"/>
      <c r="BS120" s="10485"/>
      <c r="BT120" s="10486"/>
      <c r="BU120" s="10487"/>
      <c r="BV120" s="10488"/>
      <c r="BW120" s="10489"/>
      <c r="BX120" s="10490"/>
      <c r="BY120" s="10491"/>
      <c r="BZ120" s="10492"/>
      <c r="CA120" s="10493"/>
      <c r="CB120" s="10494"/>
      <c r="CC120" s="10495"/>
      <c r="CD120" s="10496"/>
      <c r="CE120" s="10497"/>
      <c r="CF120" s="10498"/>
      <c r="CG120" s="10499"/>
      <c r="CH120" s="10500"/>
      <c r="CI120" s="10501"/>
      <c r="CJ120" s="10502"/>
      <c r="CK120" s="10503"/>
      <c r="CL120" s="10504"/>
      <c r="CM120" s="12717"/>
      <c r="CN120" s="3330"/>
      <c r="CO120" s="3331"/>
      <c r="CP120" s="1649"/>
      <c r="CQ120" s="1631"/>
      <c r="CR120" s="1631" t="str">
        <f>IF(T120="","",T120)</f>
        <v>Добавить наименование признака дифференциации</v>
      </c>
      <c r="CS120" s="1631"/>
      <c r="CT120" s="1631"/>
      <c r="CU120" s="1642">
        <v>0</v>
      </c>
    </row>
    <row s="629" customFormat="1" customHeight="1" ht="14.25">
      <c r="A121" s="1350"/>
      <c r="B121" s="1350"/>
      <c r="C121" s="1350"/>
      <c r="D121" s="1350"/>
      <c r="E121" s="2266"/>
      <c r="F121" s="2265" t="s">
        <v>93</v>
      </c>
      <c r="G121" s="1350"/>
      <c r="H121" s="1350"/>
      <c r="I121" s="1350"/>
      <c r="J121" s="1350"/>
      <c r="K121" s="1350"/>
      <c r="L121" s="1552"/>
      <c r="M121" s="1328"/>
      <c r="N121" s="1328"/>
      <c r="O121" s="1649"/>
      <c r="P121" s="1323"/>
      <c r="Q121" s="1351"/>
      <c r="R121" s="1323"/>
      <c r="S121" s="1329"/>
      <c r="T121" s="1332" t="s">
        <v>316</v>
      </c>
      <c r="U121" s="1331"/>
      <c r="V121" s="1331"/>
      <c r="W121" s="1331"/>
      <c r="X121" s="1331"/>
      <c r="Y121" s="1331"/>
      <c r="Z121" s="1331"/>
      <c r="AA121" s="1331"/>
      <c r="AB121" s="1331"/>
      <c r="AC121" s="1331"/>
      <c r="AD121" s="1331"/>
      <c r="AE121" s="1331"/>
      <c r="AF121" s="1331"/>
      <c r="AG121" s="1331"/>
      <c r="AH121" s="1331"/>
      <c r="AI121" s="1331"/>
      <c r="AJ121" s="1331"/>
      <c r="AK121" s="1331"/>
      <c r="AL121" s="1331"/>
      <c r="AM121" s="1331"/>
      <c r="AN121" s="1331"/>
      <c r="AO121" s="1331"/>
      <c r="AP121" s="1331"/>
      <c r="AQ121" s="1331"/>
      <c r="AR121" s="1331"/>
      <c r="AS121" s="1331"/>
      <c r="AT121" s="1331"/>
      <c r="AU121" s="1331"/>
      <c r="AV121" s="1331"/>
      <c r="AW121" s="1331"/>
      <c r="AX121" s="1331"/>
      <c r="AY121" s="1331"/>
      <c r="AZ121" s="1331"/>
      <c r="BA121" s="1331"/>
      <c r="BB121" s="1331"/>
      <c r="BC121" s="1331"/>
      <c r="BD121" s="1331"/>
      <c r="BE121" s="1331"/>
      <c r="BF121" s="1331"/>
      <c r="BG121" s="1331"/>
      <c r="BH121" s="1331"/>
      <c r="BI121" s="1331"/>
      <c r="BJ121" s="1331"/>
      <c r="BK121" s="1331"/>
      <c r="BL121" s="1331"/>
      <c r="BM121" s="1331"/>
      <c r="BN121" s="1331"/>
      <c r="BO121" s="1331"/>
      <c r="BP121" s="1331"/>
      <c r="BQ121" s="1331"/>
      <c r="BR121" s="1331"/>
      <c r="BS121" s="1331"/>
      <c r="BT121" s="1331"/>
      <c r="BU121" s="1331"/>
      <c r="BV121" s="1331"/>
      <c r="BW121" s="1331"/>
      <c r="BX121" s="1331"/>
      <c r="BY121" s="1331"/>
      <c r="BZ121" s="1331"/>
      <c r="CA121" s="1331"/>
      <c r="CB121" s="1331"/>
      <c r="CC121" s="1331"/>
      <c r="CD121" s="1331"/>
      <c r="CE121" s="1331"/>
      <c r="CF121" s="1331"/>
      <c r="CG121" s="1331"/>
      <c r="CH121" s="1331"/>
      <c r="CI121" s="1331"/>
      <c r="CJ121" s="1331"/>
      <c r="CK121" s="1331"/>
      <c r="CL121" s="1331"/>
      <c r="CM121" s="1331"/>
      <c r="CN121" s="1331"/>
      <c r="CO121" s="1331"/>
      <c r="CP121" s="1649"/>
      <c r="CQ121" s="1631"/>
      <c r="CR121" s="1631" t="str">
        <f>IF(T121="","",T121)</f>
        <v>Добавить централизованную систему для дифференциации</v>
      </c>
      <c r="CS121" s="1631"/>
      <c r="CT121" s="1631"/>
      <c r="CU121" s="1649">
        <v>0</v>
      </c>
    </row>
    <row s="1857" customFormat="1" customHeight="1" ht="23.25">
      <c r="A122" s="1370"/>
      <c r="B122" s="1370" t="s">
        <v>343</v>
      </c>
      <c r="C122" s="1370"/>
      <c r="D122" s="1370"/>
      <c r="E122" s="2266"/>
      <c r="F122" s="2265" t="s">
        <v>137</v>
      </c>
      <c r="G122" s="1370"/>
      <c r="H122" s="1370"/>
      <c r="I122" s="1370"/>
      <c r="J122" s="1370"/>
      <c r="K122" s="1370"/>
      <c r="L122" s="1376"/>
      <c r="M122" s="1372"/>
      <c r="N122" s="1372"/>
      <c r="O122" s="1372"/>
      <c r="P122" s="2132"/>
      <c r="Q122" s="359"/>
      <c r="R122" s="360"/>
      <c r="S122" s="2280" t="str">
        <f>INDEX(PT_DIFFERENTIATION_NUM_TER,MATCH(B122,PT_DIFFERENTIATION_TER_ID,0))</f>
        <v>1.9</v>
      </c>
      <c r="T122" s="1529" t="s">
        <v>560</v>
      </c>
      <c r="U122" s="307"/>
      <c r="V122" s="2249"/>
      <c r="W122" s="2250"/>
      <c r="X122" s="2250"/>
      <c r="Y122" s="2250"/>
      <c r="Z122" s="2250"/>
      <c r="AA122" s="2250"/>
      <c r="AB122" s="2251"/>
      <c r="AC122" s="2249" t="str">
        <f>INDEX(PT_DIFFERENTIATION_TER,MATCH(B122,PT_DIFFERENTIATION_TER_ID,0))</f>
        <v>Территория 9</v>
      </c>
      <c r="AD122" s="2250"/>
      <c r="AE122" s="2250"/>
      <c r="AF122" s="2250"/>
      <c r="AG122" s="2250"/>
      <c r="AH122" s="2250"/>
      <c r="AI122" s="2250"/>
      <c r="AJ122" s="2249"/>
      <c r="AK122" s="2250"/>
      <c r="AL122" s="2250"/>
      <c r="AM122" s="2250"/>
      <c r="AN122" s="2250"/>
      <c r="AO122" s="2250"/>
      <c r="AP122" s="2251"/>
      <c r="AQ122" s="2249"/>
      <c r="AR122" s="2250"/>
      <c r="AS122" s="2250"/>
      <c r="AT122" s="2250"/>
      <c r="AU122" s="2250"/>
      <c r="AV122" s="2250"/>
      <c r="AW122" s="2251"/>
      <c r="AX122" s="2249"/>
      <c r="AY122" s="2250"/>
      <c r="AZ122" s="2250"/>
      <c r="BA122" s="2250"/>
      <c r="BB122" s="2250"/>
      <c r="BC122" s="2250"/>
      <c r="BD122" s="2251"/>
      <c r="BE122" s="2249"/>
      <c r="BF122" s="2250"/>
      <c r="BG122" s="2250"/>
      <c r="BH122" s="2250"/>
      <c r="BI122" s="2250"/>
      <c r="BJ122" s="2250"/>
      <c r="BK122" s="2251"/>
      <c r="BL122" s="2249"/>
      <c r="BM122" s="2250"/>
      <c r="BN122" s="2250"/>
      <c r="BO122" s="2250"/>
      <c r="BP122" s="2250"/>
      <c r="BQ122" s="2250"/>
      <c r="BR122" s="2251"/>
      <c r="BS122" s="2249"/>
      <c r="BT122" s="2250"/>
      <c r="BU122" s="2250"/>
      <c r="BV122" s="2250"/>
      <c r="BW122" s="2250"/>
      <c r="BX122" s="2250"/>
      <c r="BY122" s="2251"/>
      <c r="BZ122" s="2249"/>
      <c r="CA122" s="2250"/>
      <c r="CB122" s="2250"/>
      <c r="CC122" s="2250"/>
      <c r="CD122" s="2250"/>
      <c r="CE122" s="2250"/>
      <c r="CF122" s="2251"/>
      <c r="CG122" s="2249"/>
      <c r="CH122" s="2250"/>
      <c r="CI122" s="2250"/>
      <c r="CJ122" s="2250"/>
      <c r="CK122" s="2250"/>
      <c r="CL122" s="2250"/>
      <c r="CM122" s="4492"/>
      <c r="CN122" s="2251"/>
      <c r="CO122" s="1265" t="s">
        <v>561</v>
      </c>
      <c r="CP122" s="1649"/>
      <c r="CQ122" s="1631"/>
      <c r="CR122" s="1631" t="str">
        <f>IF(T122="","",T122)</f>
        <v>Территория действия тарифа</v>
      </c>
      <c r="CS122" s="1631"/>
      <c r="CT122" s="1631"/>
      <c r="CU122" s="1642">
        <v>0</v>
      </c>
    </row>
    <row s="1857" customFormat="1" customHeight="1" ht="23.25">
      <c r="A123" s="1370"/>
      <c r="B123" s="1370"/>
      <c r="C123" s="1370" t="s">
        <v>344</v>
      </c>
      <c r="D123" s="1370"/>
      <c r="E123" s="2266"/>
      <c r="F123" s="2266" t="s">
        <v>132</v>
      </c>
      <c r="G123" s="2265">
        <v>1</v>
      </c>
      <c r="H123" s="1370"/>
      <c r="I123" s="1370"/>
      <c r="J123" s="1370"/>
      <c r="K123" s="1370"/>
      <c r="L123" s="1376"/>
      <c r="M123" s="1372"/>
      <c r="N123" s="1372"/>
      <c r="O123" s="1372"/>
      <c r="P123" s="361"/>
      <c r="Q123" s="359"/>
      <c r="R123" s="360"/>
      <c r="S123" s="2280" t="str">
        <f>INDEX(PT_DIFFERENTIATION_NUM_CS,MATCH(C123,PT_DIFFERENTIATION_CS_ID,0))</f>
        <v>1.9.1</v>
      </c>
      <c r="T123" s="316" t="s">
        <v>641</v>
      </c>
      <c r="U123" s="307"/>
      <c r="V123" s="2249"/>
      <c r="W123" s="2250"/>
      <c r="X123" s="2250"/>
      <c r="Y123" s="2250"/>
      <c r="Z123" s="2250"/>
      <c r="AA123" s="2250"/>
      <c r="AB123" s="2251"/>
      <c r="AC123" s="2249" t="str">
        <f>INDEX(PT_DIFFERENTIATION_CS,MATCH(C123,PT_DIFFERENTIATION_CS_ID,0))</f>
        <v>Корочанский район</v>
      </c>
      <c r="AD123" s="2250"/>
      <c r="AE123" s="2250"/>
      <c r="AF123" s="2250"/>
      <c r="AG123" s="2250"/>
      <c r="AH123" s="2250"/>
      <c r="AI123" s="2250"/>
      <c r="AJ123" s="2249"/>
      <c r="AK123" s="2250"/>
      <c r="AL123" s="2250"/>
      <c r="AM123" s="2250"/>
      <c r="AN123" s="2250"/>
      <c r="AO123" s="2250"/>
      <c r="AP123" s="2251"/>
      <c r="AQ123" s="2249"/>
      <c r="AR123" s="2250"/>
      <c r="AS123" s="2250"/>
      <c r="AT123" s="2250"/>
      <c r="AU123" s="2250"/>
      <c r="AV123" s="2250"/>
      <c r="AW123" s="2251"/>
      <c r="AX123" s="2249"/>
      <c r="AY123" s="2250"/>
      <c r="AZ123" s="2250"/>
      <c r="BA123" s="2250"/>
      <c r="BB123" s="2250"/>
      <c r="BC123" s="2250"/>
      <c r="BD123" s="2251"/>
      <c r="BE123" s="2249"/>
      <c r="BF123" s="2250"/>
      <c r="BG123" s="2250"/>
      <c r="BH123" s="2250"/>
      <c r="BI123" s="2250"/>
      <c r="BJ123" s="2250"/>
      <c r="BK123" s="2251"/>
      <c r="BL123" s="2249"/>
      <c r="BM123" s="2250"/>
      <c r="BN123" s="2250"/>
      <c r="BO123" s="2250"/>
      <c r="BP123" s="2250"/>
      <c r="BQ123" s="2250"/>
      <c r="BR123" s="2251"/>
      <c r="BS123" s="2249"/>
      <c r="BT123" s="2250"/>
      <c r="BU123" s="2250"/>
      <c r="BV123" s="2250"/>
      <c r="BW123" s="2250"/>
      <c r="BX123" s="2250"/>
      <c r="BY123" s="2251"/>
      <c r="BZ123" s="2249"/>
      <c r="CA123" s="2250"/>
      <c r="CB123" s="2250"/>
      <c r="CC123" s="2250"/>
      <c r="CD123" s="2250"/>
      <c r="CE123" s="2250"/>
      <c r="CF123" s="2251"/>
      <c r="CG123" s="2249"/>
      <c r="CH123" s="2250"/>
      <c r="CI123" s="2250"/>
      <c r="CJ123" s="2250"/>
      <c r="CK123" s="2250"/>
      <c r="CL123" s="2250"/>
      <c r="CM123" s="4492"/>
      <c r="CN123" s="2251"/>
      <c r="CO123" s="1265" t="s">
        <v>642</v>
      </c>
      <c r="CP123" s="1649"/>
      <c r="CQ123" s="1631"/>
      <c r="CR123" s="1631" t="str">
        <f>IF(T123="","",T123)</f>
        <v>Наименование централизованной системы холодного водоснабжения</v>
      </c>
      <c r="CS123" s="1631"/>
      <c r="CT123" s="1631"/>
      <c r="CU123" s="1642">
        <v>0</v>
      </c>
    </row>
    <row s="1857" customFormat="1" customHeight="1" ht="23.25">
      <c r="A124" s="1370"/>
      <c r="B124" s="1370"/>
      <c r="C124" s="1370"/>
      <c r="D124" s="1370"/>
      <c r="E124" s="2266"/>
      <c r="F124" s="2266" t="s">
        <v>132</v>
      </c>
      <c r="G124" s="2266"/>
      <c r="H124" s="2266"/>
      <c r="I124" s="2263" t="str">
        <f>S123&amp;".1"</f>
        <v>1.9.1.1</v>
      </c>
      <c r="J124" s="1370"/>
      <c r="K124" s="1370"/>
      <c r="L124" s="1376"/>
      <c r="M124" s="1783"/>
      <c r="N124" s="1783"/>
      <c r="O124" s="1783"/>
      <c r="P124" s="2381">
        <v>1</v>
      </c>
      <c r="Q124" s="2381"/>
      <c r="R124" s="363"/>
      <c r="S124" s="2280" t="str">
        <f>$I124</f>
        <v>1.9.1.1</v>
      </c>
      <c r="T124" s="292" t="s">
        <v>643</v>
      </c>
      <c r="U124" s="307"/>
      <c r="V124" s="2357"/>
      <c r="W124" s="2358"/>
      <c r="X124" s="2358"/>
      <c r="Y124" s="2358"/>
      <c r="Z124" s="2358"/>
      <c r="AA124" s="2358"/>
      <c r="AB124" s="2359"/>
      <c r="AC124" s="2360" t="s">
        <v>140</v>
      </c>
      <c r="AD124" s="2361"/>
      <c r="AE124" s="2361"/>
      <c r="AF124" s="2361"/>
      <c r="AG124" s="2361"/>
      <c r="AH124" s="2361"/>
      <c r="AI124" s="2361"/>
      <c r="AJ124" s="2357"/>
      <c r="AK124" s="2358"/>
      <c r="AL124" s="2358"/>
      <c r="AM124" s="2358"/>
      <c r="AN124" s="2358"/>
      <c r="AO124" s="2358"/>
      <c r="AP124" s="2359"/>
      <c r="AQ124" s="2357"/>
      <c r="AR124" s="2358"/>
      <c r="AS124" s="2358"/>
      <c r="AT124" s="2358"/>
      <c r="AU124" s="2358"/>
      <c r="AV124" s="2358"/>
      <c r="AW124" s="2359"/>
      <c r="AX124" s="2357"/>
      <c r="AY124" s="2358"/>
      <c r="AZ124" s="2358"/>
      <c r="BA124" s="2358"/>
      <c r="BB124" s="2358"/>
      <c r="BC124" s="2358"/>
      <c r="BD124" s="2359"/>
      <c r="BE124" s="2357"/>
      <c r="BF124" s="2358"/>
      <c r="BG124" s="2358"/>
      <c r="BH124" s="2358"/>
      <c r="BI124" s="2358"/>
      <c r="BJ124" s="2358"/>
      <c r="BK124" s="2359"/>
      <c r="BL124" s="2357"/>
      <c r="BM124" s="2358"/>
      <c r="BN124" s="2358"/>
      <c r="BO124" s="2358"/>
      <c r="BP124" s="2358"/>
      <c r="BQ124" s="2358"/>
      <c r="BR124" s="2359"/>
      <c r="BS124" s="2357"/>
      <c r="BT124" s="2358"/>
      <c r="BU124" s="2358"/>
      <c r="BV124" s="2358"/>
      <c r="BW124" s="2358"/>
      <c r="BX124" s="2358"/>
      <c r="BY124" s="2359"/>
      <c r="BZ124" s="2357"/>
      <c r="CA124" s="2358"/>
      <c r="CB124" s="2358"/>
      <c r="CC124" s="2358"/>
      <c r="CD124" s="2358"/>
      <c r="CE124" s="2358"/>
      <c r="CF124" s="2359"/>
      <c r="CG124" s="2357"/>
      <c r="CH124" s="2358"/>
      <c r="CI124" s="2358"/>
      <c r="CJ124" s="2358"/>
      <c r="CK124" s="2358"/>
      <c r="CL124" s="2358"/>
      <c r="CM124" s="4495"/>
      <c r="CN124" s="2362"/>
      <c r="CO124" s="1265" t="s">
        <v>644</v>
      </c>
      <c r="CP124" s="1649"/>
      <c r="CQ124" s="1631"/>
      <c r="CR124" s="1631" t="str">
        <f>IF(T124="","",T124)</f>
        <v>Наименование признака дифференциации</v>
      </c>
      <c r="CS124" s="1631"/>
      <c r="CT124" s="1631"/>
      <c r="CU124" s="1642">
        <v>0</v>
      </c>
    </row>
    <row s="1857" customFormat="1" customHeight="1" ht="23.25">
      <c r="A125" s="1370"/>
      <c r="B125" s="1370"/>
      <c r="C125" s="1370"/>
      <c r="D125" s="1370"/>
      <c r="E125" s="2266"/>
      <c r="F125" s="2266" t="s">
        <v>132</v>
      </c>
      <c r="G125" s="2266"/>
      <c r="H125" s="2266"/>
      <c r="I125" s="2293"/>
      <c r="J125" s="2263" t="str">
        <f>I124&amp;".1"</f>
        <v>1.9.1.1.1</v>
      </c>
      <c r="K125" s="1370"/>
      <c r="L125" s="1376" t="s">
        <v>569</v>
      </c>
      <c r="M125" s="1783"/>
      <c r="N125" s="1783"/>
      <c r="O125" s="1783"/>
      <c r="P125" s="2381"/>
      <c r="Q125" s="2381">
        <v>1</v>
      </c>
      <c r="R125" s="364"/>
      <c r="S125" s="2280" t="str">
        <f>$J125</f>
        <v>1.9.1.1.1</v>
      </c>
      <c r="T125" s="293" t="s">
        <v>570</v>
      </c>
      <c r="U125" s="307"/>
      <c r="V125" s="2252"/>
      <c r="W125" s="2253"/>
      <c r="X125" s="2253"/>
      <c r="Y125" s="2253"/>
      <c r="Z125" s="2253"/>
      <c r="AA125" s="2253"/>
      <c r="AB125" s="2254"/>
      <c r="AC125" s="2252" t="s">
        <v>656</v>
      </c>
      <c r="AD125" s="2253"/>
      <c r="AE125" s="2253"/>
      <c r="AF125" s="2253"/>
      <c r="AG125" s="2253"/>
      <c r="AH125" s="2253"/>
      <c r="AI125" s="2253"/>
      <c r="AJ125" s="2252"/>
      <c r="AK125" s="2253"/>
      <c r="AL125" s="2253"/>
      <c r="AM125" s="2253"/>
      <c r="AN125" s="2253"/>
      <c r="AO125" s="2253"/>
      <c r="AP125" s="2254"/>
      <c r="AQ125" s="2252"/>
      <c r="AR125" s="2253"/>
      <c r="AS125" s="2253"/>
      <c r="AT125" s="2253"/>
      <c r="AU125" s="2253"/>
      <c r="AV125" s="2253"/>
      <c r="AW125" s="2254"/>
      <c r="AX125" s="2252"/>
      <c r="AY125" s="2253"/>
      <c r="AZ125" s="2253"/>
      <c r="BA125" s="2253"/>
      <c r="BB125" s="2253"/>
      <c r="BC125" s="2253"/>
      <c r="BD125" s="2254"/>
      <c r="BE125" s="2252"/>
      <c r="BF125" s="2253"/>
      <c r="BG125" s="2253"/>
      <c r="BH125" s="2253"/>
      <c r="BI125" s="2253"/>
      <c r="BJ125" s="2253"/>
      <c r="BK125" s="2254"/>
      <c r="BL125" s="2252"/>
      <c r="BM125" s="2253"/>
      <c r="BN125" s="2253"/>
      <c r="BO125" s="2253"/>
      <c r="BP125" s="2253"/>
      <c r="BQ125" s="2253"/>
      <c r="BR125" s="2254"/>
      <c r="BS125" s="2252"/>
      <c r="BT125" s="2253"/>
      <c r="BU125" s="2253"/>
      <c r="BV125" s="2253"/>
      <c r="BW125" s="2253"/>
      <c r="BX125" s="2253"/>
      <c r="BY125" s="2254"/>
      <c r="BZ125" s="2252"/>
      <c r="CA125" s="2253"/>
      <c r="CB125" s="2253"/>
      <c r="CC125" s="2253"/>
      <c r="CD125" s="2253"/>
      <c r="CE125" s="2253"/>
      <c r="CF125" s="2254"/>
      <c r="CG125" s="2252"/>
      <c r="CH125" s="2253"/>
      <c r="CI125" s="2253"/>
      <c r="CJ125" s="2253"/>
      <c r="CK125" s="2253"/>
      <c r="CL125" s="2253"/>
      <c r="CM125" s="4498"/>
      <c r="CN125" s="2254"/>
      <c r="CO125" s="1314" t="s">
        <v>645</v>
      </c>
      <c r="CP125" s="1649"/>
      <c r="CQ125" s="1631"/>
      <c r="CR125" s="1631" t="str">
        <f>IF(T125="","",T125)</f>
        <v>Группа потребителей</v>
      </c>
      <c r="CS125" s="1631"/>
      <c r="CT125" s="1631"/>
      <c r="CU125" s="1642">
        <v>0</v>
      </c>
    </row>
    <row s="1857" customFormat="1" customHeight="1" ht="23.25">
      <c r="A126" s="1370"/>
      <c r="B126" s="1370"/>
      <c r="C126" s="1370"/>
      <c r="D126" s="1370"/>
      <c r="E126" s="2266"/>
      <c r="F126" s="2266" t="s">
        <v>132</v>
      </c>
      <c r="G126" s="2266"/>
      <c r="H126" s="2266"/>
      <c r="I126" s="2293"/>
      <c r="J126" s="2293"/>
      <c r="K126" s="2263" t="str">
        <f>J125&amp;".1"</f>
        <v>1.9.1.1.1.1</v>
      </c>
      <c r="L126" s="1376"/>
      <c r="M126" s="1783"/>
      <c r="N126" s="1783"/>
      <c r="O126" s="1783"/>
      <c r="P126" s="2381"/>
      <c r="Q126" s="2381"/>
      <c r="R126" s="364">
        <v>1</v>
      </c>
      <c r="S126" s="2280" t="str">
        <f>$K126</f>
        <v>1.9.1.1.1.1</v>
      </c>
      <c r="T126" s="1444" t="s">
        <v>657</v>
      </c>
      <c r="U126" s="307"/>
      <c r="V126" s="758"/>
      <c r="W126" s="758"/>
      <c r="X126" s="1264"/>
      <c r="Y126" s="2609"/>
      <c r="Z126" s="2114" t="s">
        <v>66</v>
      </c>
      <c r="AA126" s="2609"/>
      <c r="AB126" s="2114" t="s">
        <v>66</v>
      </c>
      <c r="AC126" s="758">
        <v>37.13</v>
      </c>
      <c r="AD126" s="758"/>
      <c r="AE126" s="1264"/>
      <c r="AF126" s="2609">
        <v>44896</v>
      </c>
      <c r="AG126" s="2114" t="s">
        <v>66</v>
      </c>
      <c r="AH126" s="2294">
        <v>45291</v>
      </c>
      <c r="AI126" s="2114" t="s">
        <v>66</v>
      </c>
      <c r="AJ126" s="758">
        <v>37.13</v>
      </c>
      <c r="AK126" s="758"/>
      <c r="AL126" s="1264"/>
      <c r="AM126" s="2609">
        <v>45292</v>
      </c>
      <c r="AN126" s="2114" t="s">
        <v>66</v>
      </c>
      <c r="AO126" s="2609">
        <v>45473</v>
      </c>
      <c r="AP126" s="2114" t="s">
        <v>66</v>
      </c>
      <c r="AQ126" s="758">
        <v>42.32</v>
      </c>
      <c r="AR126" s="758"/>
      <c r="AS126" s="1264"/>
      <c r="AT126" s="2609">
        <v>45474</v>
      </c>
      <c r="AU126" s="2114" t="s">
        <v>66</v>
      </c>
      <c r="AV126" s="2609">
        <v>45657</v>
      </c>
      <c r="AW126" s="2114" t="s">
        <v>66</v>
      </c>
      <c r="AX126" s="758">
        <v>42.32</v>
      </c>
      <c r="AY126" s="758"/>
      <c r="AZ126" s="1264"/>
      <c r="BA126" s="2609">
        <v>45658</v>
      </c>
      <c r="BB126" s="2114" t="s">
        <v>66</v>
      </c>
      <c r="BC126" s="2609">
        <v>45838</v>
      </c>
      <c r="BD126" s="2114" t="s">
        <v>66</v>
      </c>
      <c r="BE126" s="758">
        <v>116.42</v>
      </c>
      <c r="BF126" s="758"/>
      <c r="BG126" s="1264"/>
      <c r="BH126" s="2609">
        <v>45839</v>
      </c>
      <c r="BI126" s="2114" t="s">
        <v>66</v>
      </c>
      <c r="BJ126" s="2609">
        <v>46022</v>
      </c>
      <c r="BK126" s="2114" t="s">
        <v>66</v>
      </c>
      <c r="BL126" s="758">
        <v>40.38</v>
      </c>
      <c r="BM126" s="758"/>
      <c r="BN126" s="1264"/>
      <c r="BO126" s="2609">
        <v>46023</v>
      </c>
      <c r="BP126" s="2114" t="s">
        <v>66</v>
      </c>
      <c r="BQ126" s="2609">
        <v>46203</v>
      </c>
      <c r="BR126" s="2114" t="s">
        <v>66</v>
      </c>
      <c r="BS126" s="758">
        <v>43.49</v>
      </c>
      <c r="BT126" s="758"/>
      <c r="BU126" s="1264"/>
      <c r="BV126" s="2609">
        <v>46204</v>
      </c>
      <c r="BW126" s="2114" t="s">
        <v>66</v>
      </c>
      <c r="BX126" s="2609">
        <v>46387</v>
      </c>
      <c r="BY126" s="2114" t="s">
        <v>66</v>
      </c>
      <c r="BZ126" s="758">
        <v>43.49</v>
      </c>
      <c r="CA126" s="758"/>
      <c r="CB126" s="1264"/>
      <c r="CC126" s="2609">
        <v>46388</v>
      </c>
      <c r="CD126" s="2114" t="s">
        <v>66</v>
      </c>
      <c r="CE126" s="2609">
        <v>46568</v>
      </c>
      <c r="CF126" s="2114" t="s">
        <v>66</v>
      </c>
      <c r="CG126" s="758">
        <v>43.61</v>
      </c>
      <c r="CH126" s="758"/>
      <c r="CI126" s="1264"/>
      <c r="CJ126" s="2609">
        <v>46569</v>
      </c>
      <c r="CK126" s="2114" t="s">
        <v>66</v>
      </c>
      <c r="CL126" s="2609">
        <v>46752</v>
      </c>
      <c r="CM126" s="2114" t="s">
        <v>66</v>
      </c>
      <c r="CN126" s="1445"/>
      <c r="CO12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26" s="1649">
        <f>STRCHECKDATE(V127:CN127)</f>
      </c>
      <c r="CQ126" s="1631"/>
      <c r="CR126" s="1631" t="str">
        <f>IF(T126="","",T126)</f>
        <v>Тариф по водоснабжению без НДС</v>
      </c>
      <c r="CS126" s="1631"/>
      <c r="CT126" s="1631"/>
      <c r="CU126" s="1642">
        <v>0</v>
      </c>
    </row>
    <row s="1857" customFormat="1" customHeight="1" ht="14.25">
      <c r="A127" s="1370"/>
      <c r="B127" s="1370"/>
      <c r="C127" s="1370"/>
      <c r="D127" s="1370"/>
      <c r="E127" s="2266"/>
      <c r="F127" s="2266" t="s">
        <v>132</v>
      </c>
      <c r="G127" s="2266"/>
      <c r="H127" s="2266"/>
      <c r="I127" s="2293"/>
      <c r="J127" s="2293"/>
      <c r="K127" s="2263"/>
      <c r="L127" s="1376"/>
      <c r="M127" s="1783"/>
      <c r="N127" s="1783"/>
      <c r="O127" s="1783"/>
      <c r="P127" s="2381"/>
      <c r="Q127" s="2381"/>
      <c r="R127" s="364"/>
      <c r="S127" s="2520"/>
      <c r="T127" s="307"/>
      <c r="U127" s="307"/>
      <c r="V127" s="332"/>
      <c r="W127" s="332"/>
      <c r="X127" s="335" t="str">
        <f>Y126&amp;"-"&amp;AA126</f>
        <v>-</v>
      </c>
      <c r="Y127" s="2316"/>
      <c r="Z127" s="2114"/>
      <c r="AA127" s="2316"/>
      <c r="AB127" s="2114"/>
      <c r="AC127" s="332"/>
      <c r="AD127" s="332"/>
      <c r="AE127" s="335" t="str">
        <f>AF126&amp;"-"&amp;AH126</f>
        <v>44896-45291</v>
      </c>
      <c r="AF127" s="2316"/>
      <c r="AG127" s="2114"/>
      <c r="AH127" s="2295"/>
      <c r="AI127" s="2114"/>
      <c r="AJ127" s="332"/>
      <c r="AK127" s="332"/>
      <c r="AL127" s="335" t="str">
        <f>AM126&amp;"-"&amp;AO126</f>
        <v>45292-45473</v>
      </c>
      <c r="AM127" s="2316"/>
      <c r="AN127" s="2114"/>
      <c r="AO127" s="2316"/>
      <c r="AP127" s="2114"/>
      <c r="AQ127" s="332"/>
      <c r="AR127" s="332"/>
      <c r="AS127" s="335" t="str">
        <f>AT126&amp;"-"&amp;AV126</f>
        <v>45474-45657</v>
      </c>
      <c r="AT127" s="2316"/>
      <c r="AU127" s="2114"/>
      <c r="AV127" s="2316"/>
      <c r="AW127" s="2114"/>
      <c r="AX127" s="332"/>
      <c r="AY127" s="332"/>
      <c r="AZ127" s="335" t="str">
        <f>BA126&amp;"-"&amp;BC126</f>
        <v>45658-45838</v>
      </c>
      <c r="BA127" s="2316"/>
      <c r="BB127" s="2114"/>
      <c r="BC127" s="2316"/>
      <c r="BD127" s="2114"/>
      <c r="BE127" s="332"/>
      <c r="BF127" s="332"/>
      <c r="BG127" s="335" t="str">
        <f>BH126&amp;"-"&amp;BJ126</f>
        <v>45839-46022</v>
      </c>
      <c r="BH127" s="2316"/>
      <c r="BI127" s="2114"/>
      <c r="BJ127" s="2316"/>
      <c r="BK127" s="2114"/>
      <c r="BL127" s="332"/>
      <c r="BM127" s="332"/>
      <c r="BN127" s="335" t="str">
        <f>BO126&amp;"-"&amp;BQ126</f>
        <v>46023-46203</v>
      </c>
      <c r="BO127" s="2316"/>
      <c r="BP127" s="2114"/>
      <c r="BQ127" s="2316"/>
      <c r="BR127" s="2114"/>
      <c r="BS127" s="332"/>
      <c r="BT127" s="332"/>
      <c r="BU127" s="335" t="str">
        <f>BV126&amp;"-"&amp;BX126</f>
        <v>46204-46387</v>
      </c>
      <c r="BV127" s="2316"/>
      <c r="BW127" s="2114"/>
      <c r="BX127" s="2316"/>
      <c r="BY127" s="2114"/>
      <c r="BZ127" s="332"/>
      <c r="CA127" s="332"/>
      <c r="CB127" s="335" t="str">
        <f>CC126&amp;"-"&amp;CE126</f>
        <v>46388-46568</v>
      </c>
      <c r="CC127" s="2316"/>
      <c r="CD127" s="2114"/>
      <c r="CE127" s="2316"/>
      <c r="CF127" s="2114"/>
      <c r="CG127" s="332"/>
      <c r="CH127" s="332"/>
      <c r="CI127" s="335" t="str">
        <f>CJ126&amp;"-"&amp;CL126</f>
        <v>46569-46752</v>
      </c>
      <c r="CJ127" s="2316"/>
      <c r="CK127" s="2114"/>
      <c r="CL127" s="2316"/>
      <c r="CM127" s="2114"/>
      <c r="CN127" s="1446"/>
      <c r="CO127" s="2356"/>
      <c r="CP127" s="1649"/>
      <c r="CQ127" s="1631"/>
      <c r="CR127" s="1631" t="str">
        <f>IF(T127="","",T127)</f>
        <v/>
      </c>
      <c r="CS127" s="1631"/>
      <c r="CT127" s="1631"/>
      <c r="CU127" s="1642">
        <v>0</v>
      </c>
    </row>
    <row s="1857" customFormat="1" customHeight="1" ht="21">
      <c r="A128" s="1370"/>
      <c r="B128" s="1370"/>
      <c r="C128" s="1370"/>
      <c r="D128" s="1370"/>
      <c r="E128" s="2266"/>
      <c r="F128" s="2266" t="s">
        <v>132</v>
      </c>
      <c r="G128" s="2266"/>
      <c r="H128" s="2266"/>
      <c r="I128" s="2293"/>
      <c r="J128" s="2263"/>
      <c r="K128" s="1370"/>
      <c r="L128" s="1376"/>
      <c r="M128" s="1783"/>
      <c r="N128" s="1783"/>
      <c r="O128" s="1783"/>
      <c r="P128" s="2381"/>
      <c r="Q128" s="2381"/>
      <c r="R128" s="363"/>
      <c r="S128" s="3332"/>
      <c r="T128" s="3333" t="s">
        <v>646</v>
      </c>
      <c r="U128" s="3334"/>
      <c r="V128" s="3335"/>
      <c r="W128" s="3336"/>
      <c r="X128" s="3337"/>
      <c r="Y128" s="3338"/>
      <c r="Z128" s="3339"/>
      <c r="AA128" s="3340"/>
      <c r="AB128" s="3341"/>
      <c r="AC128" s="3342"/>
      <c r="AD128" s="3343"/>
      <c r="AE128" s="3344"/>
      <c r="AF128" s="3345"/>
      <c r="AG128" s="3346"/>
      <c r="AH128" s="3347"/>
      <c r="AI128" s="3348"/>
      <c r="AJ128" s="10506"/>
      <c r="AK128" s="10507"/>
      <c r="AL128" s="10508"/>
      <c r="AM128" s="10509"/>
      <c r="AN128" s="10510"/>
      <c r="AO128" s="10511"/>
      <c r="AP128" s="10512"/>
      <c r="AQ128" s="10513"/>
      <c r="AR128" s="10514"/>
      <c r="AS128" s="10515"/>
      <c r="AT128" s="10516"/>
      <c r="AU128" s="10517"/>
      <c r="AV128" s="10518"/>
      <c r="AW128" s="10519"/>
      <c r="AX128" s="10520"/>
      <c r="AY128" s="10521"/>
      <c r="AZ128" s="10522"/>
      <c r="BA128" s="10523"/>
      <c r="BB128" s="10524"/>
      <c r="BC128" s="10525"/>
      <c r="BD128" s="10526"/>
      <c r="BE128" s="10527"/>
      <c r="BF128" s="10528"/>
      <c r="BG128" s="10529"/>
      <c r="BH128" s="10530"/>
      <c r="BI128" s="10531"/>
      <c r="BJ128" s="10532"/>
      <c r="BK128" s="10533"/>
      <c r="BL128" s="10534"/>
      <c r="BM128" s="10535"/>
      <c r="BN128" s="10536"/>
      <c r="BO128" s="10537"/>
      <c r="BP128" s="10538"/>
      <c r="BQ128" s="10539"/>
      <c r="BR128" s="10540"/>
      <c r="BS128" s="10541"/>
      <c r="BT128" s="10542"/>
      <c r="BU128" s="10543"/>
      <c r="BV128" s="10544"/>
      <c r="BW128" s="10545"/>
      <c r="BX128" s="10546"/>
      <c r="BY128" s="10547"/>
      <c r="BZ128" s="10548"/>
      <c r="CA128" s="10549"/>
      <c r="CB128" s="10550"/>
      <c r="CC128" s="10551"/>
      <c r="CD128" s="10552"/>
      <c r="CE128" s="10553"/>
      <c r="CF128" s="10554"/>
      <c r="CG128" s="10555"/>
      <c r="CH128" s="10556"/>
      <c r="CI128" s="10557"/>
      <c r="CJ128" s="10558"/>
      <c r="CK128" s="10559"/>
      <c r="CL128" s="10560"/>
      <c r="CM128" s="12718"/>
      <c r="CN128" s="3356"/>
      <c r="CO128" s="1265" t="s">
        <v>647</v>
      </c>
      <c r="CP128" s="1649"/>
      <c r="CQ128" s="1631"/>
      <c r="CR128" s="1631" t="str">
        <f>IF(T128="","",T128)</f>
        <v>Добавить значение признака дифференциации</v>
      </c>
      <c r="CS128" s="1631"/>
      <c r="CT128" s="1631"/>
      <c r="CU128" s="1642">
        <v>0</v>
      </c>
    </row>
    <row s="1857" customFormat="1" customHeight="1" ht="21">
      <c r="A129" s="1370"/>
      <c r="B129" s="1370"/>
      <c r="C129" s="1370"/>
      <c r="D129" s="1370"/>
      <c r="E129" s="2266"/>
      <c r="F129" s="2266" t="s">
        <v>132</v>
      </c>
      <c r="G129" s="2266"/>
      <c r="H129" s="2266"/>
      <c r="I129" s="2263"/>
      <c r="J129" s="1370"/>
      <c r="K129" s="1370"/>
      <c r="L129" s="1376"/>
      <c r="M129" s="1783"/>
      <c r="N129" s="1783"/>
      <c r="O129" s="1783"/>
      <c r="P129" s="2381"/>
      <c r="Q129" s="2381"/>
      <c r="R129" s="363"/>
      <c r="S129" s="3357"/>
      <c r="T129" s="3358" t="s">
        <v>575</v>
      </c>
      <c r="U129" s="3359"/>
      <c r="V129" s="3360"/>
      <c r="W129" s="3361"/>
      <c r="X129" s="3362"/>
      <c r="Y129" s="3363"/>
      <c r="Z129" s="3364"/>
      <c r="AA129" s="3365"/>
      <c r="AB129" s="3366"/>
      <c r="AC129" s="3367"/>
      <c r="AD129" s="3368"/>
      <c r="AE129" s="3369"/>
      <c r="AF129" s="3370"/>
      <c r="AG129" s="3371"/>
      <c r="AH129" s="3372"/>
      <c r="AI129" s="3373"/>
      <c r="AJ129" s="10562"/>
      <c r="AK129" s="10563"/>
      <c r="AL129" s="10564"/>
      <c r="AM129" s="10565"/>
      <c r="AN129" s="10566"/>
      <c r="AO129" s="10567"/>
      <c r="AP129" s="10568"/>
      <c r="AQ129" s="10569"/>
      <c r="AR129" s="10570"/>
      <c r="AS129" s="10571"/>
      <c r="AT129" s="10572"/>
      <c r="AU129" s="10573"/>
      <c r="AV129" s="10574"/>
      <c r="AW129" s="10575"/>
      <c r="AX129" s="10576"/>
      <c r="AY129" s="10577"/>
      <c r="AZ129" s="10578"/>
      <c r="BA129" s="10579"/>
      <c r="BB129" s="10580"/>
      <c r="BC129" s="10581"/>
      <c r="BD129" s="10582"/>
      <c r="BE129" s="10583"/>
      <c r="BF129" s="10584"/>
      <c r="BG129" s="10585"/>
      <c r="BH129" s="10586"/>
      <c r="BI129" s="10587"/>
      <c r="BJ129" s="10588"/>
      <c r="BK129" s="10589"/>
      <c r="BL129" s="10590"/>
      <c r="BM129" s="10591"/>
      <c r="BN129" s="10592"/>
      <c r="BO129" s="10593"/>
      <c r="BP129" s="10594"/>
      <c r="BQ129" s="10595"/>
      <c r="BR129" s="10596"/>
      <c r="BS129" s="10597"/>
      <c r="BT129" s="10598"/>
      <c r="BU129" s="10599"/>
      <c r="BV129" s="10600"/>
      <c r="BW129" s="10601"/>
      <c r="BX129" s="10602"/>
      <c r="BY129" s="10603"/>
      <c r="BZ129" s="10604"/>
      <c r="CA129" s="10605"/>
      <c r="CB129" s="10606"/>
      <c r="CC129" s="10607"/>
      <c r="CD129" s="10608"/>
      <c r="CE129" s="10609"/>
      <c r="CF129" s="10610"/>
      <c r="CG129" s="10611"/>
      <c r="CH129" s="10612"/>
      <c r="CI129" s="10613"/>
      <c r="CJ129" s="10614"/>
      <c r="CK129" s="10615"/>
      <c r="CL129" s="10616"/>
      <c r="CM129" s="12719"/>
      <c r="CN129" s="3381"/>
      <c r="CO129" s="3382"/>
      <c r="CP129" s="1649"/>
      <c r="CQ129" s="1631"/>
      <c r="CR129" s="1631" t="str">
        <f>IF(T129="","",T129)</f>
        <v>Добавить группу потребителей</v>
      </c>
      <c r="CS129" s="1631"/>
      <c r="CT129" s="1631"/>
      <c r="CU129" s="1642">
        <v>0</v>
      </c>
    </row>
    <row s="1857" customFormat="1" customHeight="1" ht="14.25">
      <c r="A130" s="1370"/>
      <c r="B130" s="1370"/>
      <c r="C130" s="1370"/>
      <c r="D130" s="1370"/>
      <c r="E130" s="2266"/>
      <c r="F130" s="2266" t="s">
        <v>132</v>
      </c>
      <c r="G130" s="2266"/>
      <c r="H130" s="2265"/>
      <c r="I130" s="1370"/>
      <c r="J130" s="1370"/>
      <c r="K130" s="1370"/>
      <c r="L130" s="1376"/>
      <c r="M130" s="1372"/>
      <c r="N130" s="1372"/>
      <c r="O130" s="1373"/>
      <c r="P130" s="1830"/>
      <c r="Q130" s="382"/>
      <c r="R130" s="362"/>
      <c r="S130" s="3383"/>
      <c r="T130" s="3384" t="s">
        <v>648</v>
      </c>
      <c r="U130" s="3385"/>
      <c r="V130" s="3386"/>
      <c r="W130" s="3387"/>
      <c r="X130" s="3388"/>
      <c r="Y130" s="3389"/>
      <c r="Z130" s="3390"/>
      <c r="AA130" s="3391"/>
      <c r="AB130" s="3392"/>
      <c r="AC130" s="3393"/>
      <c r="AD130" s="3394"/>
      <c r="AE130" s="3395"/>
      <c r="AF130" s="3396"/>
      <c r="AG130" s="3397"/>
      <c r="AH130" s="3398"/>
      <c r="AI130" s="3399"/>
      <c r="AJ130" s="10618"/>
      <c r="AK130" s="10619"/>
      <c r="AL130" s="10620"/>
      <c r="AM130" s="10621"/>
      <c r="AN130" s="10622"/>
      <c r="AO130" s="10623"/>
      <c r="AP130" s="10624"/>
      <c r="AQ130" s="10625"/>
      <c r="AR130" s="10626"/>
      <c r="AS130" s="10627"/>
      <c r="AT130" s="10628"/>
      <c r="AU130" s="10629"/>
      <c r="AV130" s="10630"/>
      <c r="AW130" s="10631"/>
      <c r="AX130" s="10632"/>
      <c r="AY130" s="10633"/>
      <c r="AZ130" s="10634"/>
      <c r="BA130" s="10635"/>
      <c r="BB130" s="10636"/>
      <c r="BC130" s="10637"/>
      <c r="BD130" s="10638"/>
      <c r="BE130" s="10639"/>
      <c r="BF130" s="10640"/>
      <c r="BG130" s="10641"/>
      <c r="BH130" s="10642"/>
      <c r="BI130" s="10643"/>
      <c r="BJ130" s="10644"/>
      <c r="BK130" s="10645"/>
      <c r="BL130" s="10646"/>
      <c r="BM130" s="10647"/>
      <c r="BN130" s="10648"/>
      <c r="BO130" s="10649"/>
      <c r="BP130" s="10650"/>
      <c r="BQ130" s="10651"/>
      <c r="BR130" s="10652"/>
      <c r="BS130" s="10653"/>
      <c r="BT130" s="10654"/>
      <c r="BU130" s="10655"/>
      <c r="BV130" s="10656"/>
      <c r="BW130" s="10657"/>
      <c r="BX130" s="10658"/>
      <c r="BY130" s="10659"/>
      <c r="BZ130" s="10660"/>
      <c r="CA130" s="10661"/>
      <c r="CB130" s="10662"/>
      <c r="CC130" s="10663"/>
      <c r="CD130" s="10664"/>
      <c r="CE130" s="10665"/>
      <c r="CF130" s="10666"/>
      <c r="CG130" s="10667"/>
      <c r="CH130" s="10668"/>
      <c r="CI130" s="10669"/>
      <c r="CJ130" s="10670"/>
      <c r="CK130" s="10671"/>
      <c r="CL130" s="10672"/>
      <c r="CM130" s="12720"/>
      <c r="CN130" s="3407"/>
      <c r="CO130" s="3408"/>
      <c r="CP130" s="1649"/>
      <c r="CQ130" s="1631"/>
      <c r="CR130" s="1631" t="str">
        <f>IF(T130="","",T130)</f>
        <v>Добавить наименование признака дифференциации</v>
      </c>
      <c r="CS130" s="1631"/>
      <c r="CT130" s="1631"/>
      <c r="CU130" s="1642">
        <v>0</v>
      </c>
    </row>
    <row s="629" customFormat="1" customHeight="1" ht="14.25">
      <c r="A131" s="1350"/>
      <c r="B131" s="1350"/>
      <c r="C131" s="1350"/>
      <c r="D131" s="1350"/>
      <c r="E131" s="2266"/>
      <c r="F131" s="2265" t="s">
        <v>132</v>
      </c>
      <c r="G131" s="1350"/>
      <c r="H131" s="1350"/>
      <c r="I131" s="1350"/>
      <c r="J131" s="1350"/>
      <c r="K131" s="1350"/>
      <c r="L131" s="1552"/>
      <c r="M131" s="1328"/>
      <c r="N131" s="1328"/>
      <c r="O131" s="1649"/>
      <c r="P131" s="1323"/>
      <c r="Q131" s="1351"/>
      <c r="R131" s="1323"/>
      <c r="S131" s="1329"/>
      <c r="T131" s="1332" t="s">
        <v>316</v>
      </c>
      <c r="U131" s="1331"/>
      <c r="V131" s="1331"/>
      <c r="W131" s="1331"/>
      <c r="X131" s="1331"/>
      <c r="Y131" s="1331"/>
      <c r="Z131" s="1331"/>
      <c r="AA131" s="1331"/>
      <c r="AB131" s="1331"/>
      <c r="AC131" s="1331"/>
      <c r="AD131" s="1331"/>
      <c r="AE131" s="1331"/>
      <c r="AF131" s="1331"/>
      <c r="AG131" s="1331"/>
      <c r="AH131" s="1331"/>
      <c r="AI131" s="1331"/>
      <c r="AJ131" s="1331"/>
      <c r="AK131" s="1331"/>
      <c r="AL131" s="1331"/>
      <c r="AM131" s="1331"/>
      <c r="AN131" s="1331"/>
      <c r="AO131" s="1331"/>
      <c r="AP131" s="1331"/>
      <c r="AQ131" s="1331"/>
      <c r="AR131" s="1331"/>
      <c r="AS131" s="1331"/>
      <c r="AT131" s="1331"/>
      <c r="AU131" s="1331"/>
      <c r="AV131" s="1331"/>
      <c r="AW131" s="1331"/>
      <c r="AX131" s="1331"/>
      <c r="AY131" s="1331"/>
      <c r="AZ131" s="1331"/>
      <c r="BA131" s="1331"/>
      <c r="BB131" s="1331"/>
      <c r="BC131" s="1331"/>
      <c r="BD131" s="1331"/>
      <c r="BE131" s="1331"/>
      <c r="BF131" s="1331"/>
      <c r="BG131" s="1331"/>
      <c r="BH131" s="1331"/>
      <c r="BI131" s="1331"/>
      <c r="BJ131" s="1331"/>
      <c r="BK131" s="1331"/>
      <c r="BL131" s="1331"/>
      <c r="BM131" s="1331"/>
      <c r="BN131" s="1331"/>
      <c r="BO131" s="1331"/>
      <c r="BP131" s="1331"/>
      <c r="BQ131" s="1331"/>
      <c r="BR131" s="1331"/>
      <c r="BS131" s="1331"/>
      <c r="BT131" s="1331"/>
      <c r="BU131" s="1331"/>
      <c r="BV131" s="1331"/>
      <c r="BW131" s="1331"/>
      <c r="BX131" s="1331"/>
      <c r="BY131" s="1331"/>
      <c r="BZ131" s="1331"/>
      <c r="CA131" s="1331"/>
      <c r="CB131" s="1331"/>
      <c r="CC131" s="1331"/>
      <c r="CD131" s="1331"/>
      <c r="CE131" s="1331"/>
      <c r="CF131" s="1331"/>
      <c r="CG131" s="1331"/>
      <c r="CH131" s="1331"/>
      <c r="CI131" s="1331"/>
      <c r="CJ131" s="1331"/>
      <c r="CK131" s="1331"/>
      <c r="CL131" s="1331"/>
      <c r="CM131" s="1331"/>
      <c r="CN131" s="1331"/>
      <c r="CO131" s="1331"/>
      <c r="CP131" s="1649"/>
      <c r="CQ131" s="1631"/>
      <c r="CR131" s="1631" t="str">
        <f>IF(T131="","",T131)</f>
        <v>Добавить централизованную систему для дифференциации</v>
      </c>
      <c r="CS131" s="1631"/>
      <c r="CT131" s="1631"/>
      <c r="CU131" s="1649">
        <v>0</v>
      </c>
    </row>
    <row s="1857" customFormat="1" customHeight="1" ht="23.25">
      <c r="A132" s="1370"/>
      <c r="B132" s="1370" t="s">
        <v>346</v>
      </c>
      <c r="C132" s="1370"/>
      <c r="D132" s="1370"/>
      <c r="E132" s="2266"/>
      <c r="F132" s="2265" t="s">
        <v>142</v>
      </c>
      <c r="G132" s="1370"/>
      <c r="H132" s="1370"/>
      <c r="I132" s="1370"/>
      <c r="J132" s="1370"/>
      <c r="K132" s="1370"/>
      <c r="L132" s="1376"/>
      <c r="M132" s="1372"/>
      <c r="N132" s="1372"/>
      <c r="O132" s="1372"/>
      <c r="P132" s="2132"/>
      <c r="Q132" s="359"/>
      <c r="R132" s="360"/>
      <c r="S132" s="2280" t="str">
        <f>INDEX(PT_DIFFERENTIATION_NUM_TER,MATCH(B132,PT_DIFFERENTIATION_TER_ID,0))</f>
        <v>1.10</v>
      </c>
      <c r="T132" s="1529" t="s">
        <v>560</v>
      </c>
      <c r="U132" s="307"/>
      <c r="V132" s="2249"/>
      <c r="W132" s="2250"/>
      <c r="X132" s="2250"/>
      <c r="Y132" s="2250"/>
      <c r="Z132" s="2250"/>
      <c r="AA132" s="2250"/>
      <c r="AB132" s="2251"/>
      <c r="AC132" s="2249" t="str">
        <f>INDEX(PT_DIFFERENTIATION_TER,MATCH(B132,PT_DIFFERENTIATION_TER_ID,0))</f>
        <v>Территория 10</v>
      </c>
      <c r="AD132" s="2250"/>
      <c r="AE132" s="2250"/>
      <c r="AF132" s="2250"/>
      <c r="AG132" s="2250"/>
      <c r="AH132" s="2250"/>
      <c r="AI132" s="2250"/>
      <c r="AJ132" s="2249"/>
      <c r="AK132" s="2250"/>
      <c r="AL132" s="2250"/>
      <c r="AM132" s="2250"/>
      <c r="AN132" s="2250"/>
      <c r="AO132" s="2250"/>
      <c r="AP132" s="2251"/>
      <c r="AQ132" s="2249"/>
      <c r="AR132" s="2250"/>
      <c r="AS132" s="2250"/>
      <c r="AT132" s="2250"/>
      <c r="AU132" s="2250"/>
      <c r="AV132" s="2250"/>
      <c r="AW132" s="2251"/>
      <c r="AX132" s="2249"/>
      <c r="AY132" s="2250"/>
      <c r="AZ132" s="2250"/>
      <c r="BA132" s="2250"/>
      <c r="BB132" s="2250"/>
      <c r="BC132" s="2250"/>
      <c r="BD132" s="2251"/>
      <c r="BE132" s="2249"/>
      <c r="BF132" s="2250"/>
      <c r="BG132" s="2250"/>
      <c r="BH132" s="2250"/>
      <c r="BI132" s="2250"/>
      <c r="BJ132" s="2250"/>
      <c r="BK132" s="2251"/>
      <c r="BL132" s="2249"/>
      <c r="BM132" s="2250"/>
      <c r="BN132" s="2250"/>
      <c r="BO132" s="2250"/>
      <c r="BP132" s="2250"/>
      <c r="BQ132" s="2250"/>
      <c r="BR132" s="2251"/>
      <c r="BS132" s="2249"/>
      <c r="BT132" s="2250"/>
      <c r="BU132" s="2250"/>
      <c r="BV132" s="2250"/>
      <c r="BW132" s="2250"/>
      <c r="BX132" s="2250"/>
      <c r="BY132" s="2251"/>
      <c r="BZ132" s="2249"/>
      <c r="CA132" s="2250"/>
      <c r="CB132" s="2250"/>
      <c r="CC132" s="2250"/>
      <c r="CD132" s="2250"/>
      <c r="CE132" s="2250"/>
      <c r="CF132" s="2251"/>
      <c r="CG132" s="2249"/>
      <c r="CH132" s="2250"/>
      <c r="CI132" s="2250"/>
      <c r="CJ132" s="2250"/>
      <c r="CK132" s="2250"/>
      <c r="CL132" s="2250"/>
      <c r="CM132" s="4492"/>
      <c r="CN132" s="2251"/>
      <c r="CO132" s="1265" t="s">
        <v>561</v>
      </c>
      <c r="CP132" s="1649"/>
      <c r="CQ132" s="1631"/>
      <c r="CR132" s="1631" t="str">
        <f>IF(T132="","",T132)</f>
        <v>Территория действия тарифа</v>
      </c>
      <c r="CS132" s="1631"/>
      <c r="CT132" s="1631"/>
      <c r="CU132" s="1642">
        <v>0</v>
      </c>
    </row>
    <row s="1857" customFormat="1" customHeight="1" ht="23.25">
      <c r="A133" s="1370"/>
      <c r="B133" s="1370"/>
      <c r="C133" s="1370" t="s">
        <v>347</v>
      </c>
      <c r="D133" s="1370"/>
      <c r="E133" s="2266"/>
      <c r="F133" s="2266" t="s">
        <v>137</v>
      </c>
      <c r="G133" s="2265">
        <v>1</v>
      </c>
      <c r="H133" s="1370"/>
      <c r="I133" s="1370"/>
      <c r="J133" s="1370"/>
      <c r="K133" s="1370"/>
      <c r="L133" s="1376"/>
      <c r="M133" s="1372"/>
      <c r="N133" s="1372"/>
      <c r="O133" s="1372"/>
      <c r="P133" s="361"/>
      <c r="Q133" s="359"/>
      <c r="R133" s="360"/>
      <c r="S133" s="2280" t="str">
        <f>INDEX(PT_DIFFERENTIATION_NUM_CS,MATCH(C133,PT_DIFFERENTIATION_CS_ID,0))</f>
        <v>1.10.1</v>
      </c>
      <c r="T133" s="316" t="s">
        <v>641</v>
      </c>
      <c r="U133" s="307"/>
      <c r="V133" s="2249"/>
      <c r="W133" s="2250"/>
      <c r="X133" s="2250"/>
      <c r="Y133" s="2250"/>
      <c r="Z133" s="2250"/>
      <c r="AA133" s="2250"/>
      <c r="AB133" s="2251"/>
      <c r="AC133" s="2249" t="str">
        <f>INDEX(PT_DIFFERENTIATION_CS,MATCH(C133,PT_DIFFERENTIATION_CS_ID,0))</f>
        <v>Красненский район</v>
      </c>
      <c r="AD133" s="2250"/>
      <c r="AE133" s="2250"/>
      <c r="AF133" s="2250"/>
      <c r="AG133" s="2250"/>
      <c r="AH133" s="2250"/>
      <c r="AI133" s="2250"/>
      <c r="AJ133" s="2249"/>
      <c r="AK133" s="2250"/>
      <c r="AL133" s="2250"/>
      <c r="AM133" s="2250"/>
      <c r="AN133" s="2250"/>
      <c r="AO133" s="2250"/>
      <c r="AP133" s="2251"/>
      <c r="AQ133" s="2249"/>
      <c r="AR133" s="2250"/>
      <c r="AS133" s="2250"/>
      <c r="AT133" s="2250"/>
      <c r="AU133" s="2250"/>
      <c r="AV133" s="2250"/>
      <c r="AW133" s="2251"/>
      <c r="AX133" s="2249"/>
      <c r="AY133" s="2250"/>
      <c r="AZ133" s="2250"/>
      <c r="BA133" s="2250"/>
      <c r="BB133" s="2250"/>
      <c r="BC133" s="2250"/>
      <c r="BD133" s="2251"/>
      <c r="BE133" s="2249"/>
      <c r="BF133" s="2250"/>
      <c r="BG133" s="2250"/>
      <c r="BH133" s="2250"/>
      <c r="BI133" s="2250"/>
      <c r="BJ133" s="2250"/>
      <c r="BK133" s="2251"/>
      <c r="BL133" s="2249"/>
      <c r="BM133" s="2250"/>
      <c r="BN133" s="2250"/>
      <c r="BO133" s="2250"/>
      <c r="BP133" s="2250"/>
      <c r="BQ133" s="2250"/>
      <c r="BR133" s="2251"/>
      <c r="BS133" s="2249"/>
      <c r="BT133" s="2250"/>
      <c r="BU133" s="2250"/>
      <c r="BV133" s="2250"/>
      <c r="BW133" s="2250"/>
      <c r="BX133" s="2250"/>
      <c r="BY133" s="2251"/>
      <c r="BZ133" s="2249"/>
      <c r="CA133" s="2250"/>
      <c r="CB133" s="2250"/>
      <c r="CC133" s="2250"/>
      <c r="CD133" s="2250"/>
      <c r="CE133" s="2250"/>
      <c r="CF133" s="2251"/>
      <c r="CG133" s="2249"/>
      <c r="CH133" s="2250"/>
      <c r="CI133" s="2250"/>
      <c r="CJ133" s="2250"/>
      <c r="CK133" s="2250"/>
      <c r="CL133" s="2250"/>
      <c r="CM133" s="4492"/>
      <c r="CN133" s="2251"/>
      <c r="CO133" s="1265" t="s">
        <v>642</v>
      </c>
      <c r="CP133" s="1649"/>
      <c r="CQ133" s="1631"/>
      <c r="CR133" s="1631" t="str">
        <f>IF(T133="","",T133)</f>
        <v>Наименование централизованной системы холодного водоснабжения</v>
      </c>
      <c r="CS133" s="1631"/>
      <c r="CT133" s="1631"/>
      <c r="CU133" s="1642">
        <v>0</v>
      </c>
    </row>
    <row s="1857" customFormat="1" customHeight="1" ht="23.25">
      <c r="A134" s="1370"/>
      <c r="B134" s="1370"/>
      <c r="C134" s="1370"/>
      <c r="D134" s="1370"/>
      <c r="E134" s="2266"/>
      <c r="F134" s="2266" t="s">
        <v>137</v>
      </c>
      <c r="G134" s="2266"/>
      <c r="H134" s="2266"/>
      <c r="I134" s="2263" t="str">
        <f>S133&amp;".1"</f>
        <v>1.10.1.1</v>
      </c>
      <c r="J134" s="1370"/>
      <c r="K134" s="1370"/>
      <c r="L134" s="1376"/>
      <c r="M134" s="1783"/>
      <c r="N134" s="1783"/>
      <c r="O134" s="1783"/>
      <c r="P134" s="2381">
        <v>1</v>
      </c>
      <c r="Q134" s="2381"/>
      <c r="R134" s="363"/>
      <c r="S134" s="2280" t="str">
        <f>$I134</f>
        <v>1.10.1.1</v>
      </c>
      <c r="T134" s="292" t="s">
        <v>643</v>
      </c>
      <c r="U134" s="307"/>
      <c r="V134" s="2357"/>
      <c r="W134" s="2358"/>
      <c r="X134" s="2358"/>
      <c r="Y134" s="2358"/>
      <c r="Z134" s="2358"/>
      <c r="AA134" s="2358"/>
      <c r="AB134" s="2359"/>
      <c r="AC134" s="2360" t="s">
        <v>145</v>
      </c>
      <c r="AD134" s="2361"/>
      <c r="AE134" s="2361"/>
      <c r="AF134" s="2361"/>
      <c r="AG134" s="2361"/>
      <c r="AH134" s="2361"/>
      <c r="AI134" s="2361"/>
      <c r="AJ134" s="2357"/>
      <c r="AK134" s="2358"/>
      <c r="AL134" s="2358"/>
      <c r="AM134" s="2358"/>
      <c r="AN134" s="2358"/>
      <c r="AO134" s="2358"/>
      <c r="AP134" s="2359"/>
      <c r="AQ134" s="2357"/>
      <c r="AR134" s="2358"/>
      <c r="AS134" s="2358"/>
      <c r="AT134" s="2358"/>
      <c r="AU134" s="2358"/>
      <c r="AV134" s="2358"/>
      <c r="AW134" s="2359"/>
      <c r="AX134" s="2357"/>
      <c r="AY134" s="2358"/>
      <c r="AZ134" s="2358"/>
      <c r="BA134" s="2358"/>
      <c r="BB134" s="2358"/>
      <c r="BC134" s="2358"/>
      <c r="BD134" s="2359"/>
      <c r="BE134" s="2357"/>
      <c r="BF134" s="2358"/>
      <c r="BG134" s="2358"/>
      <c r="BH134" s="2358"/>
      <c r="BI134" s="2358"/>
      <c r="BJ134" s="2358"/>
      <c r="BK134" s="2359"/>
      <c r="BL134" s="2357"/>
      <c r="BM134" s="2358"/>
      <c r="BN134" s="2358"/>
      <c r="BO134" s="2358"/>
      <c r="BP134" s="2358"/>
      <c r="BQ134" s="2358"/>
      <c r="BR134" s="2359"/>
      <c r="BS134" s="2357"/>
      <c r="BT134" s="2358"/>
      <c r="BU134" s="2358"/>
      <c r="BV134" s="2358"/>
      <c r="BW134" s="2358"/>
      <c r="BX134" s="2358"/>
      <c r="BY134" s="2359"/>
      <c r="BZ134" s="2357"/>
      <c r="CA134" s="2358"/>
      <c r="CB134" s="2358"/>
      <c r="CC134" s="2358"/>
      <c r="CD134" s="2358"/>
      <c r="CE134" s="2358"/>
      <c r="CF134" s="2359"/>
      <c r="CG134" s="2357"/>
      <c r="CH134" s="2358"/>
      <c r="CI134" s="2358"/>
      <c r="CJ134" s="2358"/>
      <c r="CK134" s="2358"/>
      <c r="CL134" s="2358"/>
      <c r="CM134" s="4495"/>
      <c r="CN134" s="2362"/>
      <c r="CO134" s="1265" t="s">
        <v>644</v>
      </c>
      <c r="CP134" s="1649"/>
      <c r="CQ134" s="1631"/>
      <c r="CR134" s="1631" t="str">
        <f>IF(T134="","",T134)</f>
        <v>Наименование признака дифференциации</v>
      </c>
      <c r="CS134" s="1631"/>
      <c r="CT134" s="1631"/>
      <c r="CU134" s="1642">
        <v>0</v>
      </c>
    </row>
    <row s="1857" customFormat="1" customHeight="1" ht="23.25">
      <c r="A135" s="1370"/>
      <c r="B135" s="1370"/>
      <c r="C135" s="1370"/>
      <c r="D135" s="1370"/>
      <c r="E135" s="2266"/>
      <c r="F135" s="2266" t="s">
        <v>137</v>
      </c>
      <c r="G135" s="2266"/>
      <c r="H135" s="2266"/>
      <c r="I135" s="2293"/>
      <c r="J135" s="2263" t="str">
        <f>I134&amp;".1"</f>
        <v>1.10.1.1.1</v>
      </c>
      <c r="K135" s="1370"/>
      <c r="L135" s="1376" t="s">
        <v>569</v>
      </c>
      <c r="M135" s="1783"/>
      <c r="N135" s="1783"/>
      <c r="O135" s="1783"/>
      <c r="P135" s="2381"/>
      <c r="Q135" s="2381">
        <v>1</v>
      </c>
      <c r="R135" s="364"/>
      <c r="S135" s="2280" t="str">
        <f>$J135</f>
        <v>1.10.1.1.1</v>
      </c>
      <c r="T135" s="293" t="s">
        <v>570</v>
      </c>
      <c r="U135" s="307"/>
      <c r="V135" s="2252"/>
      <c r="W135" s="2253"/>
      <c r="X135" s="2253"/>
      <c r="Y135" s="2253"/>
      <c r="Z135" s="2253"/>
      <c r="AA135" s="2253"/>
      <c r="AB135" s="2254"/>
      <c r="AC135" s="2252" t="s">
        <v>656</v>
      </c>
      <c r="AD135" s="2253"/>
      <c r="AE135" s="2253"/>
      <c r="AF135" s="2253"/>
      <c r="AG135" s="2253"/>
      <c r="AH135" s="2253"/>
      <c r="AI135" s="2253"/>
      <c r="AJ135" s="2252"/>
      <c r="AK135" s="2253"/>
      <c r="AL135" s="2253"/>
      <c r="AM135" s="2253"/>
      <c r="AN135" s="2253"/>
      <c r="AO135" s="2253"/>
      <c r="AP135" s="2254"/>
      <c r="AQ135" s="2252"/>
      <c r="AR135" s="2253"/>
      <c r="AS135" s="2253"/>
      <c r="AT135" s="2253"/>
      <c r="AU135" s="2253"/>
      <c r="AV135" s="2253"/>
      <c r="AW135" s="2254"/>
      <c r="AX135" s="2252"/>
      <c r="AY135" s="2253"/>
      <c r="AZ135" s="2253"/>
      <c r="BA135" s="2253"/>
      <c r="BB135" s="2253"/>
      <c r="BC135" s="2253"/>
      <c r="BD135" s="2254"/>
      <c r="BE135" s="2252"/>
      <c r="BF135" s="2253"/>
      <c r="BG135" s="2253"/>
      <c r="BH135" s="2253"/>
      <c r="BI135" s="2253"/>
      <c r="BJ135" s="2253"/>
      <c r="BK135" s="2254"/>
      <c r="BL135" s="2252"/>
      <c r="BM135" s="2253"/>
      <c r="BN135" s="2253"/>
      <c r="BO135" s="2253"/>
      <c r="BP135" s="2253"/>
      <c r="BQ135" s="2253"/>
      <c r="BR135" s="2254"/>
      <c r="BS135" s="2252"/>
      <c r="BT135" s="2253"/>
      <c r="BU135" s="2253"/>
      <c r="BV135" s="2253"/>
      <c r="BW135" s="2253"/>
      <c r="BX135" s="2253"/>
      <c r="BY135" s="2254"/>
      <c r="BZ135" s="2252"/>
      <c r="CA135" s="2253"/>
      <c r="CB135" s="2253"/>
      <c r="CC135" s="2253"/>
      <c r="CD135" s="2253"/>
      <c r="CE135" s="2253"/>
      <c r="CF135" s="2254"/>
      <c r="CG135" s="2252"/>
      <c r="CH135" s="2253"/>
      <c r="CI135" s="2253"/>
      <c r="CJ135" s="2253"/>
      <c r="CK135" s="2253"/>
      <c r="CL135" s="2253"/>
      <c r="CM135" s="4498"/>
      <c r="CN135" s="2254"/>
      <c r="CO135" s="1314" t="s">
        <v>645</v>
      </c>
      <c r="CP135" s="1649"/>
      <c r="CQ135" s="1631"/>
      <c r="CR135" s="1631" t="str">
        <f>IF(T135="","",T135)</f>
        <v>Группа потребителей</v>
      </c>
      <c r="CS135" s="1631"/>
      <c r="CT135" s="1631"/>
      <c r="CU135" s="1642">
        <v>0</v>
      </c>
    </row>
    <row s="1857" customFormat="1" customHeight="1" ht="23.25">
      <c r="A136" s="1370"/>
      <c r="B136" s="1370"/>
      <c r="C136" s="1370"/>
      <c r="D136" s="1370"/>
      <c r="E136" s="2266"/>
      <c r="F136" s="2266" t="s">
        <v>137</v>
      </c>
      <c r="G136" s="2266"/>
      <c r="H136" s="2266"/>
      <c r="I136" s="2293"/>
      <c r="J136" s="2293"/>
      <c r="K136" s="2263" t="str">
        <f>J135&amp;".1"</f>
        <v>1.10.1.1.1.1</v>
      </c>
      <c r="L136" s="1376"/>
      <c r="M136" s="1783"/>
      <c r="N136" s="1783"/>
      <c r="O136" s="1783"/>
      <c r="P136" s="2381"/>
      <c r="Q136" s="2381"/>
      <c r="R136" s="364">
        <v>1</v>
      </c>
      <c r="S136" s="2280" t="str">
        <f>$K136</f>
        <v>1.10.1.1.1.1</v>
      </c>
      <c r="T136" s="1444" t="s">
        <v>657</v>
      </c>
      <c r="U136" s="307"/>
      <c r="V136" s="758"/>
      <c r="W136" s="758"/>
      <c r="X136" s="1264"/>
      <c r="Y136" s="2609"/>
      <c r="Z136" s="2114" t="s">
        <v>66</v>
      </c>
      <c r="AA136" s="2609"/>
      <c r="AB136" s="2114" t="s">
        <v>66</v>
      </c>
      <c r="AC136" s="758">
        <v>37.05</v>
      </c>
      <c r="AD136" s="758"/>
      <c r="AE136" s="1264"/>
      <c r="AF136" s="2609">
        <v>44896</v>
      </c>
      <c r="AG136" s="2114" t="s">
        <v>66</v>
      </c>
      <c r="AH136" s="2294">
        <v>45291</v>
      </c>
      <c r="AI136" s="2114" t="s">
        <v>66</v>
      </c>
      <c r="AJ136" s="758">
        <v>37.05</v>
      </c>
      <c r="AK136" s="758"/>
      <c r="AL136" s="1264"/>
      <c r="AM136" s="2609">
        <v>45292</v>
      </c>
      <c r="AN136" s="2114" t="s">
        <v>66</v>
      </c>
      <c r="AO136" s="2609">
        <v>45473</v>
      </c>
      <c r="AP136" s="2114" t="s">
        <v>66</v>
      </c>
      <c r="AQ136" s="758">
        <v>41.83</v>
      </c>
      <c r="AR136" s="758"/>
      <c r="AS136" s="1264"/>
      <c r="AT136" s="2609">
        <v>45474</v>
      </c>
      <c r="AU136" s="2114" t="s">
        <v>66</v>
      </c>
      <c r="AV136" s="2609">
        <v>45657</v>
      </c>
      <c r="AW136" s="2114" t="s">
        <v>66</v>
      </c>
      <c r="AX136" s="758">
        <v>41.38</v>
      </c>
      <c r="AY136" s="758"/>
      <c r="AZ136" s="1264"/>
      <c r="BA136" s="2609">
        <v>45658</v>
      </c>
      <c r="BB136" s="2114" t="s">
        <v>66</v>
      </c>
      <c r="BC136" s="2609">
        <v>45838</v>
      </c>
      <c r="BD136" s="2114" t="s">
        <v>66</v>
      </c>
      <c r="BE136" s="758">
        <v>179.22</v>
      </c>
      <c r="BF136" s="758"/>
      <c r="BG136" s="1264"/>
      <c r="BH136" s="2609">
        <v>45839</v>
      </c>
      <c r="BI136" s="2114" t="s">
        <v>66</v>
      </c>
      <c r="BJ136" s="2609">
        <v>46022</v>
      </c>
      <c r="BK136" s="2114" t="s">
        <v>66</v>
      </c>
      <c r="BL136" s="758">
        <v>39.27</v>
      </c>
      <c r="BM136" s="758"/>
      <c r="BN136" s="1264"/>
      <c r="BO136" s="2609">
        <v>46023</v>
      </c>
      <c r="BP136" s="2114" t="s">
        <v>66</v>
      </c>
      <c r="BQ136" s="2609">
        <v>46203</v>
      </c>
      <c r="BR136" s="2114" t="s">
        <v>66</v>
      </c>
      <c r="BS136" s="758">
        <v>39.27</v>
      </c>
      <c r="BT136" s="758"/>
      <c r="BU136" s="1264"/>
      <c r="BV136" s="2609">
        <v>46204</v>
      </c>
      <c r="BW136" s="2114" t="s">
        <v>66</v>
      </c>
      <c r="BX136" s="2609">
        <v>46387</v>
      </c>
      <c r="BY136" s="2114" t="s">
        <v>66</v>
      </c>
      <c r="BZ136" s="758">
        <v>39.27</v>
      </c>
      <c r="CA136" s="758"/>
      <c r="CB136" s="1264"/>
      <c r="CC136" s="2609">
        <v>46388</v>
      </c>
      <c r="CD136" s="2114" t="s">
        <v>66</v>
      </c>
      <c r="CE136" s="2609">
        <v>46568</v>
      </c>
      <c r="CF136" s="2114" t="s">
        <v>66</v>
      </c>
      <c r="CG136" s="758">
        <v>42.66</v>
      </c>
      <c r="CH136" s="758"/>
      <c r="CI136" s="1264"/>
      <c r="CJ136" s="2609">
        <v>46569</v>
      </c>
      <c r="CK136" s="2114" t="s">
        <v>66</v>
      </c>
      <c r="CL136" s="2609">
        <v>46752</v>
      </c>
      <c r="CM136" s="2114" t="s">
        <v>66</v>
      </c>
      <c r="CN136" s="1445"/>
      <c r="CO13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36" s="1649">
        <f>STRCHECKDATE(V137:CN137)</f>
      </c>
      <c r="CQ136" s="1631"/>
      <c r="CR136" s="1631" t="str">
        <f>IF(T136="","",T136)</f>
        <v>Тариф по водоснабжению без НДС</v>
      </c>
      <c r="CS136" s="1631"/>
      <c r="CT136" s="1631"/>
      <c r="CU136" s="1642">
        <v>0</v>
      </c>
    </row>
    <row s="1857" customFormat="1" customHeight="1" ht="14.25">
      <c r="A137" s="1370"/>
      <c r="B137" s="1370"/>
      <c r="C137" s="1370"/>
      <c r="D137" s="1370"/>
      <c r="E137" s="2266"/>
      <c r="F137" s="2266" t="s">
        <v>137</v>
      </c>
      <c r="G137" s="2266"/>
      <c r="H137" s="2266"/>
      <c r="I137" s="2293"/>
      <c r="J137" s="2293"/>
      <c r="K137" s="2263"/>
      <c r="L137" s="1376"/>
      <c r="M137" s="1783"/>
      <c r="N137" s="1783"/>
      <c r="O137" s="1783"/>
      <c r="P137" s="2381"/>
      <c r="Q137" s="2381"/>
      <c r="R137" s="364"/>
      <c r="S137" s="2520"/>
      <c r="T137" s="307"/>
      <c r="U137" s="307"/>
      <c r="V137" s="332"/>
      <c r="W137" s="332"/>
      <c r="X137" s="335" t="str">
        <f>Y136&amp;"-"&amp;AA136</f>
        <v>-</v>
      </c>
      <c r="Y137" s="2316"/>
      <c r="Z137" s="2114"/>
      <c r="AA137" s="2316"/>
      <c r="AB137" s="2114"/>
      <c r="AC137" s="332"/>
      <c r="AD137" s="332"/>
      <c r="AE137" s="335" t="str">
        <f>AF136&amp;"-"&amp;AH136</f>
        <v>44896-45291</v>
      </c>
      <c r="AF137" s="2316"/>
      <c r="AG137" s="2114"/>
      <c r="AH137" s="2295"/>
      <c r="AI137" s="2114"/>
      <c r="AJ137" s="332"/>
      <c r="AK137" s="332"/>
      <c r="AL137" s="335" t="str">
        <f>AM136&amp;"-"&amp;AO136</f>
        <v>45292-45473</v>
      </c>
      <c r="AM137" s="2316"/>
      <c r="AN137" s="2114"/>
      <c r="AO137" s="2316"/>
      <c r="AP137" s="2114"/>
      <c r="AQ137" s="332"/>
      <c r="AR137" s="332"/>
      <c r="AS137" s="335" t="str">
        <f>AT136&amp;"-"&amp;AV136</f>
        <v>45474-45657</v>
      </c>
      <c r="AT137" s="2316"/>
      <c r="AU137" s="2114"/>
      <c r="AV137" s="2316"/>
      <c r="AW137" s="2114"/>
      <c r="AX137" s="332"/>
      <c r="AY137" s="332"/>
      <c r="AZ137" s="335" t="str">
        <f>BA136&amp;"-"&amp;BC136</f>
        <v>45658-45838</v>
      </c>
      <c r="BA137" s="2316"/>
      <c r="BB137" s="2114"/>
      <c r="BC137" s="2316"/>
      <c r="BD137" s="2114"/>
      <c r="BE137" s="332"/>
      <c r="BF137" s="332"/>
      <c r="BG137" s="335" t="str">
        <f>BH136&amp;"-"&amp;BJ136</f>
        <v>45839-46022</v>
      </c>
      <c r="BH137" s="2316"/>
      <c r="BI137" s="2114"/>
      <c r="BJ137" s="2316"/>
      <c r="BK137" s="2114"/>
      <c r="BL137" s="332"/>
      <c r="BM137" s="332"/>
      <c r="BN137" s="335" t="str">
        <f>BO136&amp;"-"&amp;BQ136</f>
        <v>46023-46203</v>
      </c>
      <c r="BO137" s="2316"/>
      <c r="BP137" s="2114"/>
      <c r="BQ137" s="2316"/>
      <c r="BR137" s="2114"/>
      <c r="BS137" s="332"/>
      <c r="BT137" s="332"/>
      <c r="BU137" s="335" t="str">
        <f>BV136&amp;"-"&amp;BX136</f>
        <v>46204-46387</v>
      </c>
      <c r="BV137" s="2316"/>
      <c r="BW137" s="2114"/>
      <c r="BX137" s="2316"/>
      <c r="BY137" s="2114"/>
      <c r="BZ137" s="332"/>
      <c r="CA137" s="332"/>
      <c r="CB137" s="335" t="str">
        <f>CC136&amp;"-"&amp;CE136</f>
        <v>46388-46568</v>
      </c>
      <c r="CC137" s="2316"/>
      <c r="CD137" s="2114"/>
      <c r="CE137" s="2316"/>
      <c r="CF137" s="2114"/>
      <c r="CG137" s="332"/>
      <c r="CH137" s="332"/>
      <c r="CI137" s="335" t="str">
        <f>CJ136&amp;"-"&amp;CL136</f>
        <v>46569-46752</v>
      </c>
      <c r="CJ137" s="2316"/>
      <c r="CK137" s="2114"/>
      <c r="CL137" s="2316"/>
      <c r="CM137" s="2114"/>
      <c r="CN137" s="1446"/>
      <c r="CO137" s="2356"/>
      <c r="CP137" s="1649"/>
      <c r="CQ137" s="1631"/>
      <c r="CR137" s="1631" t="str">
        <f>IF(T137="","",T137)</f>
        <v/>
      </c>
      <c r="CS137" s="1631"/>
      <c r="CT137" s="1631"/>
      <c r="CU137" s="1642">
        <v>0</v>
      </c>
    </row>
    <row s="1857" customFormat="1" customHeight="1" ht="21">
      <c r="A138" s="1370"/>
      <c r="B138" s="1370"/>
      <c r="C138" s="1370"/>
      <c r="D138" s="1370"/>
      <c r="E138" s="2266"/>
      <c r="F138" s="2266" t="s">
        <v>137</v>
      </c>
      <c r="G138" s="2266"/>
      <c r="H138" s="2266"/>
      <c r="I138" s="2293"/>
      <c r="J138" s="2263"/>
      <c r="K138" s="1370"/>
      <c r="L138" s="1376"/>
      <c r="M138" s="1783"/>
      <c r="N138" s="1783"/>
      <c r="O138" s="1783"/>
      <c r="P138" s="2381"/>
      <c r="Q138" s="2381"/>
      <c r="R138" s="363"/>
      <c r="S138" s="3409"/>
      <c r="T138" s="3410" t="s">
        <v>646</v>
      </c>
      <c r="U138" s="3411"/>
      <c r="V138" s="3412"/>
      <c r="W138" s="3413"/>
      <c r="X138" s="3414"/>
      <c r="Y138" s="3415"/>
      <c r="Z138" s="3416"/>
      <c r="AA138" s="3417"/>
      <c r="AB138" s="3418"/>
      <c r="AC138" s="3419"/>
      <c r="AD138" s="3420"/>
      <c r="AE138" s="3421"/>
      <c r="AF138" s="3422"/>
      <c r="AG138" s="3423"/>
      <c r="AH138" s="3424"/>
      <c r="AI138" s="3425"/>
      <c r="AJ138" s="10674"/>
      <c r="AK138" s="10675"/>
      <c r="AL138" s="10676"/>
      <c r="AM138" s="10677"/>
      <c r="AN138" s="10678"/>
      <c r="AO138" s="10679"/>
      <c r="AP138" s="10680"/>
      <c r="AQ138" s="10681"/>
      <c r="AR138" s="10682"/>
      <c r="AS138" s="10683"/>
      <c r="AT138" s="10684"/>
      <c r="AU138" s="10685"/>
      <c r="AV138" s="10686"/>
      <c r="AW138" s="10687"/>
      <c r="AX138" s="10688"/>
      <c r="AY138" s="10689"/>
      <c r="AZ138" s="10690"/>
      <c r="BA138" s="10691"/>
      <c r="BB138" s="10692"/>
      <c r="BC138" s="10693"/>
      <c r="BD138" s="10694"/>
      <c r="BE138" s="10695"/>
      <c r="BF138" s="10696"/>
      <c r="BG138" s="10697"/>
      <c r="BH138" s="10698"/>
      <c r="BI138" s="10699"/>
      <c r="BJ138" s="10700"/>
      <c r="BK138" s="10701"/>
      <c r="BL138" s="10702"/>
      <c r="BM138" s="10703"/>
      <c r="BN138" s="10704"/>
      <c r="BO138" s="10705"/>
      <c r="BP138" s="10706"/>
      <c r="BQ138" s="10707"/>
      <c r="BR138" s="10708"/>
      <c r="BS138" s="10709"/>
      <c r="BT138" s="10710"/>
      <c r="BU138" s="10711"/>
      <c r="BV138" s="10712"/>
      <c r="BW138" s="10713"/>
      <c r="BX138" s="10714"/>
      <c r="BY138" s="10715"/>
      <c r="BZ138" s="10716"/>
      <c r="CA138" s="10717"/>
      <c r="CB138" s="10718"/>
      <c r="CC138" s="10719"/>
      <c r="CD138" s="10720"/>
      <c r="CE138" s="10721"/>
      <c r="CF138" s="10722"/>
      <c r="CG138" s="10723"/>
      <c r="CH138" s="10724"/>
      <c r="CI138" s="10725"/>
      <c r="CJ138" s="10726"/>
      <c r="CK138" s="10727"/>
      <c r="CL138" s="10728"/>
      <c r="CM138" s="12721"/>
      <c r="CN138" s="3433"/>
      <c r="CO138" s="1265" t="s">
        <v>647</v>
      </c>
      <c r="CP138" s="1649"/>
      <c r="CQ138" s="1631"/>
      <c r="CR138" s="1631" t="str">
        <f>IF(T138="","",T138)</f>
        <v>Добавить значение признака дифференциации</v>
      </c>
      <c r="CS138" s="1631"/>
      <c r="CT138" s="1631"/>
      <c r="CU138" s="1642">
        <v>0</v>
      </c>
    </row>
    <row s="1857" customFormat="1" customHeight="1" ht="21">
      <c r="A139" s="1370"/>
      <c r="B139" s="1370"/>
      <c r="C139" s="1370"/>
      <c r="D139" s="1370"/>
      <c r="E139" s="2266"/>
      <c r="F139" s="2266" t="s">
        <v>137</v>
      </c>
      <c r="G139" s="2266"/>
      <c r="H139" s="2266"/>
      <c r="I139" s="2263"/>
      <c r="J139" s="1370"/>
      <c r="K139" s="1370"/>
      <c r="L139" s="1376"/>
      <c r="M139" s="1783"/>
      <c r="N139" s="1783"/>
      <c r="O139" s="1783"/>
      <c r="P139" s="2381"/>
      <c r="Q139" s="2381"/>
      <c r="R139" s="363"/>
      <c r="S139" s="3434"/>
      <c r="T139" s="3435" t="s">
        <v>575</v>
      </c>
      <c r="U139" s="3436"/>
      <c r="V139" s="3437"/>
      <c r="W139" s="3438"/>
      <c r="X139" s="3439"/>
      <c r="Y139" s="3440"/>
      <c r="Z139" s="3441"/>
      <c r="AA139" s="3442"/>
      <c r="AB139" s="3443"/>
      <c r="AC139" s="3444"/>
      <c r="AD139" s="3445"/>
      <c r="AE139" s="3446"/>
      <c r="AF139" s="3447"/>
      <c r="AG139" s="3448"/>
      <c r="AH139" s="3449"/>
      <c r="AI139" s="3450"/>
      <c r="AJ139" s="10730"/>
      <c r="AK139" s="10731"/>
      <c r="AL139" s="10732"/>
      <c r="AM139" s="10733"/>
      <c r="AN139" s="10734"/>
      <c r="AO139" s="10735"/>
      <c r="AP139" s="10736"/>
      <c r="AQ139" s="10737"/>
      <c r="AR139" s="10738"/>
      <c r="AS139" s="10739"/>
      <c r="AT139" s="10740"/>
      <c r="AU139" s="10741"/>
      <c r="AV139" s="10742"/>
      <c r="AW139" s="10743"/>
      <c r="AX139" s="10744"/>
      <c r="AY139" s="10745"/>
      <c r="AZ139" s="10746"/>
      <c r="BA139" s="10747"/>
      <c r="BB139" s="10748"/>
      <c r="BC139" s="10749"/>
      <c r="BD139" s="10750"/>
      <c r="BE139" s="10751"/>
      <c r="BF139" s="10752"/>
      <c r="BG139" s="10753"/>
      <c r="BH139" s="10754"/>
      <c r="BI139" s="10755"/>
      <c r="BJ139" s="10756"/>
      <c r="BK139" s="10757"/>
      <c r="BL139" s="10758"/>
      <c r="BM139" s="10759"/>
      <c r="BN139" s="10760"/>
      <c r="BO139" s="10761"/>
      <c r="BP139" s="10762"/>
      <c r="BQ139" s="10763"/>
      <c r="BR139" s="10764"/>
      <c r="BS139" s="10765"/>
      <c r="BT139" s="10766"/>
      <c r="BU139" s="10767"/>
      <c r="BV139" s="10768"/>
      <c r="BW139" s="10769"/>
      <c r="BX139" s="10770"/>
      <c r="BY139" s="10771"/>
      <c r="BZ139" s="10772"/>
      <c r="CA139" s="10773"/>
      <c r="CB139" s="10774"/>
      <c r="CC139" s="10775"/>
      <c r="CD139" s="10776"/>
      <c r="CE139" s="10777"/>
      <c r="CF139" s="10778"/>
      <c r="CG139" s="10779"/>
      <c r="CH139" s="10780"/>
      <c r="CI139" s="10781"/>
      <c r="CJ139" s="10782"/>
      <c r="CK139" s="10783"/>
      <c r="CL139" s="10784"/>
      <c r="CM139" s="12722"/>
      <c r="CN139" s="3458"/>
      <c r="CO139" s="3459"/>
      <c r="CP139" s="1649"/>
      <c r="CQ139" s="1631"/>
      <c r="CR139" s="1631" t="str">
        <f>IF(T139="","",T139)</f>
        <v>Добавить группу потребителей</v>
      </c>
      <c r="CS139" s="1631"/>
      <c r="CT139" s="1631"/>
      <c r="CU139" s="1642">
        <v>0</v>
      </c>
    </row>
    <row s="1857" customFormat="1" customHeight="1" ht="14.25">
      <c r="A140" s="1370"/>
      <c r="B140" s="1370"/>
      <c r="C140" s="1370"/>
      <c r="D140" s="1370"/>
      <c r="E140" s="2266"/>
      <c r="F140" s="2266" t="s">
        <v>137</v>
      </c>
      <c r="G140" s="2266"/>
      <c r="H140" s="2265"/>
      <c r="I140" s="1370"/>
      <c r="J140" s="1370"/>
      <c r="K140" s="1370"/>
      <c r="L140" s="1376"/>
      <c r="M140" s="1372"/>
      <c r="N140" s="1372"/>
      <c r="O140" s="1373"/>
      <c r="P140" s="1830"/>
      <c r="Q140" s="382"/>
      <c r="R140" s="362"/>
      <c r="S140" s="3460"/>
      <c r="T140" s="3461" t="s">
        <v>648</v>
      </c>
      <c r="U140" s="3462"/>
      <c r="V140" s="3463"/>
      <c r="W140" s="3464"/>
      <c r="X140" s="3465"/>
      <c r="Y140" s="3466"/>
      <c r="Z140" s="3467"/>
      <c r="AA140" s="3468"/>
      <c r="AB140" s="3469"/>
      <c r="AC140" s="3470"/>
      <c r="AD140" s="3471"/>
      <c r="AE140" s="3472"/>
      <c r="AF140" s="3473"/>
      <c r="AG140" s="3474"/>
      <c r="AH140" s="3475"/>
      <c r="AI140" s="3476"/>
      <c r="AJ140" s="10786"/>
      <c r="AK140" s="10787"/>
      <c r="AL140" s="10788"/>
      <c r="AM140" s="10789"/>
      <c r="AN140" s="10790"/>
      <c r="AO140" s="10791"/>
      <c r="AP140" s="10792"/>
      <c r="AQ140" s="10793"/>
      <c r="AR140" s="10794"/>
      <c r="AS140" s="10795"/>
      <c r="AT140" s="10796"/>
      <c r="AU140" s="10797"/>
      <c r="AV140" s="10798"/>
      <c r="AW140" s="10799"/>
      <c r="AX140" s="10800"/>
      <c r="AY140" s="10801"/>
      <c r="AZ140" s="10802"/>
      <c r="BA140" s="10803"/>
      <c r="BB140" s="10804"/>
      <c r="BC140" s="10805"/>
      <c r="BD140" s="10806"/>
      <c r="BE140" s="10807"/>
      <c r="BF140" s="10808"/>
      <c r="BG140" s="10809"/>
      <c r="BH140" s="10810"/>
      <c r="BI140" s="10811"/>
      <c r="BJ140" s="10812"/>
      <c r="BK140" s="10813"/>
      <c r="BL140" s="10814"/>
      <c r="BM140" s="10815"/>
      <c r="BN140" s="10816"/>
      <c r="BO140" s="10817"/>
      <c r="BP140" s="10818"/>
      <c r="BQ140" s="10819"/>
      <c r="BR140" s="10820"/>
      <c r="BS140" s="10821"/>
      <c r="BT140" s="10822"/>
      <c r="BU140" s="10823"/>
      <c r="BV140" s="10824"/>
      <c r="BW140" s="10825"/>
      <c r="BX140" s="10826"/>
      <c r="BY140" s="10827"/>
      <c r="BZ140" s="10828"/>
      <c r="CA140" s="10829"/>
      <c r="CB140" s="10830"/>
      <c r="CC140" s="10831"/>
      <c r="CD140" s="10832"/>
      <c r="CE140" s="10833"/>
      <c r="CF140" s="10834"/>
      <c r="CG140" s="10835"/>
      <c r="CH140" s="10836"/>
      <c r="CI140" s="10837"/>
      <c r="CJ140" s="10838"/>
      <c r="CK140" s="10839"/>
      <c r="CL140" s="10840"/>
      <c r="CM140" s="12723"/>
      <c r="CN140" s="3484"/>
      <c r="CO140" s="3485"/>
      <c r="CP140" s="1649"/>
      <c r="CQ140" s="1631"/>
      <c r="CR140" s="1631" t="str">
        <f>IF(T140="","",T140)</f>
        <v>Добавить наименование признака дифференциации</v>
      </c>
      <c r="CS140" s="1631"/>
      <c r="CT140" s="1631"/>
      <c r="CU140" s="1642">
        <v>0</v>
      </c>
    </row>
    <row s="629" customFormat="1" customHeight="1" ht="14.25">
      <c r="A141" s="1350"/>
      <c r="B141" s="1350"/>
      <c r="C141" s="1350"/>
      <c r="D141" s="1350"/>
      <c r="E141" s="2266"/>
      <c r="F141" s="2265" t="s">
        <v>137</v>
      </c>
      <c r="G141" s="1350"/>
      <c r="H141" s="1350"/>
      <c r="I141" s="1350"/>
      <c r="J141" s="1350"/>
      <c r="K141" s="1350"/>
      <c r="L141" s="1552"/>
      <c r="M141" s="1328"/>
      <c r="N141" s="1328"/>
      <c r="O141" s="1649"/>
      <c r="P141" s="1323"/>
      <c r="Q141" s="1351"/>
      <c r="R141" s="1323"/>
      <c r="S141" s="1329"/>
      <c r="T141" s="1332" t="s">
        <v>316</v>
      </c>
      <c r="U141" s="1331"/>
      <c r="V141" s="1331"/>
      <c r="W141" s="1331"/>
      <c r="X141" s="1331"/>
      <c r="Y141" s="1331"/>
      <c r="Z141" s="1331"/>
      <c r="AA141" s="1331"/>
      <c r="AB141" s="1331"/>
      <c r="AC141" s="1331"/>
      <c r="AD141" s="1331"/>
      <c r="AE141" s="1331"/>
      <c r="AF141" s="1331"/>
      <c r="AG141" s="1331"/>
      <c r="AH141" s="1331"/>
      <c r="AI141" s="1331"/>
      <c r="AJ141" s="1331"/>
      <c r="AK141" s="1331"/>
      <c r="AL141" s="1331"/>
      <c r="AM141" s="1331"/>
      <c r="AN141" s="1331"/>
      <c r="AO141" s="1331"/>
      <c r="AP141" s="1331"/>
      <c r="AQ141" s="1331"/>
      <c r="AR141" s="1331"/>
      <c r="AS141" s="1331"/>
      <c r="AT141" s="1331"/>
      <c r="AU141" s="1331"/>
      <c r="AV141" s="1331"/>
      <c r="AW141" s="1331"/>
      <c r="AX141" s="1331"/>
      <c r="AY141" s="1331"/>
      <c r="AZ141" s="1331"/>
      <c r="BA141" s="1331"/>
      <c r="BB141" s="1331"/>
      <c r="BC141" s="1331"/>
      <c r="BD141" s="1331"/>
      <c r="BE141" s="1331"/>
      <c r="BF141" s="1331"/>
      <c r="BG141" s="1331"/>
      <c r="BH141" s="1331"/>
      <c r="BI141" s="1331"/>
      <c r="BJ141" s="1331"/>
      <c r="BK141" s="1331"/>
      <c r="BL141" s="1331"/>
      <c r="BM141" s="1331"/>
      <c r="BN141" s="1331"/>
      <c r="BO141" s="1331"/>
      <c r="BP141" s="1331"/>
      <c r="BQ141" s="1331"/>
      <c r="BR141" s="1331"/>
      <c r="BS141" s="1331"/>
      <c r="BT141" s="1331"/>
      <c r="BU141" s="1331"/>
      <c r="BV141" s="1331"/>
      <c r="BW141" s="1331"/>
      <c r="BX141" s="1331"/>
      <c r="BY141" s="1331"/>
      <c r="BZ141" s="1331"/>
      <c r="CA141" s="1331"/>
      <c r="CB141" s="1331"/>
      <c r="CC141" s="1331"/>
      <c r="CD141" s="1331"/>
      <c r="CE141" s="1331"/>
      <c r="CF141" s="1331"/>
      <c r="CG141" s="1331"/>
      <c r="CH141" s="1331"/>
      <c r="CI141" s="1331"/>
      <c r="CJ141" s="1331"/>
      <c r="CK141" s="1331"/>
      <c r="CL141" s="1331"/>
      <c r="CM141" s="1331"/>
      <c r="CN141" s="1331"/>
      <c r="CO141" s="1331"/>
      <c r="CP141" s="1649"/>
      <c r="CQ141" s="1631"/>
      <c r="CR141" s="1631" t="str">
        <f>IF(T141="","",T141)</f>
        <v>Добавить централизованную систему для дифференциации</v>
      </c>
      <c r="CS141" s="1631"/>
      <c r="CT141" s="1631"/>
      <c r="CU141" s="1649">
        <v>0</v>
      </c>
    </row>
    <row s="1857" customFormat="1" customHeight="1" ht="23.25">
      <c r="A142" s="1370"/>
      <c r="B142" s="1370" t="s">
        <v>349</v>
      </c>
      <c r="C142" s="1370"/>
      <c r="D142" s="1370"/>
      <c r="E142" s="2266"/>
      <c r="F142" s="2265" t="s">
        <v>147</v>
      </c>
      <c r="G142" s="1370"/>
      <c r="H142" s="1370"/>
      <c r="I142" s="1370"/>
      <c r="J142" s="1370"/>
      <c r="K142" s="1370"/>
      <c r="L142" s="1376"/>
      <c r="M142" s="1372"/>
      <c r="N142" s="1372"/>
      <c r="O142" s="1372"/>
      <c r="P142" s="2132"/>
      <c r="Q142" s="359"/>
      <c r="R142" s="360"/>
      <c r="S142" s="2280" t="str">
        <f>INDEX(PT_DIFFERENTIATION_NUM_TER,MATCH(B142,PT_DIFFERENTIATION_TER_ID,0))</f>
        <v>1.11</v>
      </c>
      <c r="T142" s="1529" t="s">
        <v>560</v>
      </c>
      <c r="U142" s="307"/>
      <c r="V142" s="2249"/>
      <c r="W142" s="2250"/>
      <c r="X142" s="2250"/>
      <c r="Y142" s="2250"/>
      <c r="Z142" s="2250"/>
      <c r="AA142" s="2250"/>
      <c r="AB142" s="2251"/>
      <c r="AC142" s="2249" t="str">
        <f>INDEX(PT_DIFFERENTIATION_TER,MATCH(B142,PT_DIFFERENTIATION_TER_ID,0))</f>
        <v>Территория 11</v>
      </c>
      <c r="AD142" s="2250"/>
      <c r="AE142" s="2250"/>
      <c r="AF142" s="2250"/>
      <c r="AG142" s="2250"/>
      <c r="AH142" s="2250"/>
      <c r="AI142" s="2250"/>
      <c r="AJ142" s="2249"/>
      <c r="AK142" s="2250"/>
      <c r="AL142" s="2250"/>
      <c r="AM142" s="2250"/>
      <c r="AN142" s="2250"/>
      <c r="AO142" s="2250"/>
      <c r="AP142" s="2251"/>
      <c r="AQ142" s="2249"/>
      <c r="AR142" s="2250"/>
      <c r="AS142" s="2250"/>
      <c r="AT142" s="2250"/>
      <c r="AU142" s="2250"/>
      <c r="AV142" s="2250"/>
      <c r="AW142" s="2251"/>
      <c r="AX142" s="2249"/>
      <c r="AY142" s="2250"/>
      <c r="AZ142" s="2250"/>
      <c r="BA142" s="2250"/>
      <c r="BB142" s="2250"/>
      <c r="BC142" s="2250"/>
      <c r="BD142" s="2251"/>
      <c r="BE142" s="2249"/>
      <c r="BF142" s="2250"/>
      <c r="BG142" s="2250"/>
      <c r="BH142" s="2250"/>
      <c r="BI142" s="2250"/>
      <c r="BJ142" s="2250"/>
      <c r="BK142" s="2251"/>
      <c r="BL142" s="2249"/>
      <c r="BM142" s="2250"/>
      <c r="BN142" s="2250"/>
      <c r="BO142" s="2250"/>
      <c r="BP142" s="2250"/>
      <c r="BQ142" s="2250"/>
      <c r="BR142" s="2251"/>
      <c r="BS142" s="2249"/>
      <c r="BT142" s="2250"/>
      <c r="BU142" s="2250"/>
      <c r="BV142" s="2250"/>
      <c r="BW142" s="2250"/>
      <c r="BX142" s="2250"/>
      <c r="BY142" s="2251"/>
      <c r="BZ142" s="2249"/>
      <c r="CA142" s="2250"/>
      <c r="CB142" s="2250"/>
      <c r="CC142" s="2250"/>
      <c r="CD142" s="2250"/>
      <c r="CE142" s="2250"/>
      <c r="CF142" s="2251"/>
      <c r="CG142" s="2249"/>
      <c r="CH142" s="2250"/>
      <c r="CI142" s="2250"/>
      <c r="CJ142" s="2250"/>
      <c r="CK142" s="2250"/>
      <c r="CL142" s="2250"/>
      <c r="CM142" s="4492"/>
      <c r="CN142" s="2251"/>
      <c r="CO142" s="1265" t="s">
        <v>561</v>
      </c>
      <c r="CP142" s="1649"/>
      <c r="CQ142" s="1631"/>
      <c r="CR142" s="1631" t="str">
        <f>IF(T142="","",T142)</f>
        <v>Территория действия тарифа</v>
      </c>
      <c r="CS142" s="1631"/>
      <c r="CT142" s="1631"/>
      <c r="CU142" s="1642">
        <v>0</v>
      </c>
    </row>
    <row s="1857" customFormat="1" customHeight="1" ht="23.25">
      <c r="A143" s="1370"/>
      <c r="B143" s="1370"/>
      <c r="C143" s="1370" t="s">
        <v>350</v>
      </c>
      <c r="D143" s="1370"/>
      <c r="E143" s="2266"/>
      <c r="F143" s="2266" t="s">
        <v>142</v>
      </c>
      <c r="G143" s="2265">
        <v>1</v>
      </c>
      <c r="H143" s="1370"/>
      <c r="I143" s="1370"/>
      <c r="J143" s="1370"/>
      <c r="K143" s="1370"/>
      <c r="L143" s="1376"/>
      <c r="M143" s="1372"/>
      <c r="N143" s="1372"/>
      <c r="O143" s="1372"/>
      <c r="P143" s="361"/>
      <c r="Q143" s="359"/>
      <c r="R143" s="360"/>
      <c r="S143" s="2280" t="str">
        <f>INDEX(PT_DIFFERENTIATION_NUM_CS,MATCH(C143,PT_DIFFERENTIATION_CS_ID,0))</f>
        <v>1.11.1</v>
      </c>
      <c r="T143" s="316" t="s">
        <v>641</v>
      </c>
      <c r="U143" s="307"/>
      <c r="V143" s="2249"/>
      <c r="W143" s="2250"/>
      <c r="X143" s="2250"/>
      <c r="Y143" s="2250"/>
      <c r="Z143" s="2250"/>
      <c r="AA143" s="2250"/>
      <c r="AB143" s="2251"/>
      <c r="AC143" s="2249" t="str">
        <f>INDEX(PT_DIFFERENTIATION_CS,MATCH(C143,PT_DIFFERENTIATION_CS_ID,0))</f>
        <v>Красногвардейский район</v>
      </c>
      <c r="AD143" s="2250"/>
      <c r="AE143" s="2250"/>
      <c r="AF143" s="2250"/>
      <c r="AG143" s="2250"/>
      <c r="AH143" s="2250"/>
      <c r="AI143" s="2250"/>
      <c r="AJ143" s="2249"/>
      <c r="AK143" s="2250"/>
      <c r="AL143" s="2250"/>
      <c r="AM143" s="2250"/>
      <c r="AN143" s="2250"/>
      <c r="AO143" s="2250"/>
      <c r="AP143" s="2251"/>
      <c r="AQ143" s="2249"/>
      <c r="AR143" s="2250"/>
      <c r="AS143" s="2250"/>
      <c r="AT143" s="2250"/>
      <c r="AU143" s="2250"/>
      <c r="AV143" s="2250"/>
      <c r="AW143" s="2251"/>
      <c r="AX143" s="2249"/>
      <c r="AY143" s="2250"/>
      <c r="AZ143" s="2250"/>
      <c r="BA143" s="2250"/>
      <c r="BB143" s="2250"/>
      <c r="BC143" s="2250"/>
      <c r="BD143" s="2251"/>
      <c r="BE143" s="2249"/>
      <c r="BF143" s="2250"/>
      <c r="BG143" s="2250"/>
      <c r="BH143" s="2250"/>
      <c r="BI143" s="2250"/>
      <c r="BJ143" s="2250"/>
      <c r="BK143" s="2251"/>
      <c r="BL143" s="2249"/>
      <c r="BM143" s="2250"/>
      <c r="BN143" s="2250"/>
      <c r="BO143" s="2250"/>
      <c r="BP143" s="2250"/>
      <c r="BQ143" s="2250"/>
      <c r="BR143" s="2251"/>
      <c r="BS143" s="2249"/>
      <c r="BT143" s="2250"/>
      <c r="BU143" s="2250"/>
      <c r="BV143" s="2250"/>
      <c r="BW143" s="2250"/>
      <c r="BX143" s="2250"/>
      <c r="BY143" s="2251"/>
      <c r="BZ143" s="2249"/>
      <c r="CA143" s="2250"/>
      <c r="CB143" s="2250"/>
      <c r="CC143" s="2250"/>
      <c r="CD143" s="2250"/>
      <c r="CE143" s="2250"/>
      <c r="CF143" s="2251"/>
      <c r="CG143" s="2249"/>
      <c r="CH143" s="2250"/>
      <c r="CI143" s="2250"/>
      <c r="CJ143" s="2250"/>
      <c r="CK143" s="2250"/>
      <c r="CL143" s="2250"/>
      <c r="CM143" s="4492"/>
      <c r="CN143" s="2251"/>
      <c r="CO143" s="1265" t="s">
        <v>642</v>
      </c>
      <c r="CP143" s="1649"/>
      <c r="CQ143" s="1631"/>
      <c r="CR143" s="1631" t="str">
        <f>IF(T143="","",T143)</f>
        <v>Наименование централизованной системы холодного водоснабжения</v>
      </c>
      <c r="CS143" s="1631"/>
      <c r="CT143" s="1631"/>
      <c r="CU143" s="1642">
        <v>0</v>
      </c>
    </row>
    <row s="1857" customFormat="1" customHeight="1" ht="23.25">
      <c r="A144" s="1370"/>
      <c r="B144" s="1370"/>
      <c r="C144" s="1370"/>
      <c r="D144" s="1370"/>
      <c r="E144" s="2266"/>
      <c r="F144" s="2266" t="s">
        <v>142</v>
      </c>
      <c r="G144" s="2266"/>
      <c r="H144" s="2266"/>
      <c r="I144" s="2263" t="str">
        <f>S143&amp;".1"</f>
        <v>1.11.1.1</v>
      </c>
      <c r="J144" s="1370"/>
      <c r="K144" s="1370"/>
      <c r="L144" s="1376"/>
      <c r="M144" s="1783"/>
      <c r="N144" s="1783"/>
      <c r="O144" s="1783"/>
      <c r="P144" s="2381">
        <v>1</v>
      </c>
      <c r="Q144" s="2381"/>
      <c r="R144" s="363"/>
      <c r="S144" s="2280" t="str">
        <f>$I144</f>
        <v>1.11.1.1</v>
      </c>
      <c r="T144" s="292" t="s">
        <v>643</v>
      </c>
      <c r="U144" s="307"/>
      <c r="V144" s="2357"/>
      <c r="W144" s="2358"/>
      <c r="X144" s="2358"/>
      <c r="Y144" s="2358"/>
      <c r="Z144" s="2358"/>
      <c r="AA144" s="2358"/>
      <c r="AB144" s="2359"/>
      <c r="AC144" s="2360" t="s">
        <v>150</v>
      </c>
      <c r="AD144" s="2361"/>
      <c r="AE144" s="2361"/>
      <c r="AF144" s="2361"/>
      <c r="AG144" s="2361"/>
      <c r="AH144" s="2361"/>
      <c r="AI144" s="2361"/>
      <c r="AJ144" s="2357"/>
      <c r="AK144" s="2358"/>
      <c r="AL144" s="2358"/>
      <c r="AM144" s="2358"/>
      <c r="AN144" s="2358"/>
      <c r="AO144" s="2358"/>
      <c r="AP144" s="2359"/>
      <c r="AQ144" s="2357"/>
      <c r="AR144" s="2358"/>
      <c r="AS144" s="2358"/>
      <c r="AT144" s="2358"/>
      <c r="AU144" s="2358"/>
      <c r="AV144" s="2358"/>
      <c r="AW144" s="2359"/>
      <c r="AX144" s="2357"/>
      <c r="AY144" s="2358"/>
      <c r="AZ144" s="2358"/>
      <c r="BA144" s="2358"/>
      <c r="BB144" s="2358"/>
      <c r="BC144" s="2358"/>
      <c r="BD144" s="2359"/>
      <c r="BE144" s="2357"/>
      <c r="BF144" s="2358"/>
      <c r="BG144" s="2358"/>
      <c r="BH144" s="2358"/>
      <c r="BI144" s="2358"/>
      <c r="BJ144" s="2358"/>
      <c r="BK144" s="2359"/>
      <c r="BL144" s="2357"/>
      <c r="BM144" s="2358"/>
      <c r="BN144" s="2358"/>
      <c r="BO144" s="2358"/>
      <c r="BP144" s="2358"/>
      <c r="BQ144" s="2358"/>
      <c r="BR144" s="2359"/>
      <c r="BS144" s="2357"/>
      <c r="BT144" s="2358"/>
      <c r="BU144" s="2358"/>
      <c r="BV144" s="2358"/>
      <c r="BW144" s="2358"/>
      <c r="BX144" s="2358"/>
      <c r="BY144" s="2359"/>
      <c r="BZ144" s="2357"/>
      <c r="CA144" s="2358"/>
      <c r="CB144" s="2358"/>
      <c r="CC144" s="2358"/>
      <c r="CD144" s="2358"/>
      <c r="CE144" s="2358"/>
      <c r="CF144" s="2359"/>
      <c r="CG144" s="2357"/>
      <c r="CH144" s="2358"/>
      <c r="CI144" s="2358"/>
      <c r="CJ144" s="2358"/>
      <c r="CK144" s="2358"/>
      <c r="CL144" s="2358"/>
      <c r="CM144" s="4495"/>
      <c r="CN144" s="2362"/>
      <c r="CO144" s="1265" t="s">
        <v>644</v>
      </c>
      <c r="CP144" s="1649"/>
      <c r="CQ144" s="1631"/>
      <c r="CR144" s="1631" t="str">
        <f>IF(T144="","",T144)</f>
        <v>Наименование признака дифференциации</v>
      </c>
      <c r="CS144" s="1631"/>
      <c r="CT144" s="1631"/>
      <c r="CU144" s="1642">
        <v>0</v>
      </c>
    </row>
    <row s="1857" customFormat="1" customHeight="1" ht="23.25">
      <c r="A145" s="1370"/>
      <c r="B145" s="1370"/>
      <c r="C145" s="1370"/>
      <c r="D145" s="1370"/>
      <c r="E145" s="2266"/>
      <c r="F145" s="2266" t="s">
        <v>142</v>
      </c>
      <c r="G145" s="2266"/>
      <c r="H145" s="2266"/>
      <c r="I145" s="2293"/>
      <c r="J145" s="2263" t="str">
        <f>I144&amp;".1"</f>
        <v>1.11.1.1.1</v>
      </c>
      <c r="K145" s="1370"/>
      <c r="L145" s="1376" t="s">
        <v>569</v>
      </c>
      <c r="M145" s="1783"/>
      <c r="N145" s="1783"/>
      <c r="O145" s="1783"/>
      <c r="P145" s="2381"/>
      <c r="Q145" s="2381">
        <v>1</v>
      </c>
      <c r="R145" s="364"/>
      <c r="S145" s="2280" t="str">
        <f>$J145</f>
        <v>1.11.1.1.1</v>
      </c>
      <c r="T145" s="293" t="s">
        <v>570</v>
      </c>
      <c r="U145" s="307"/>
      <c r="V145" s="2252"/>
      <c r="W145" s="2253"/>
      <c r="X145" s="2253"/>
      <c r="Y145" s="2253"/>
      <c r="Z145" s="2253"/>
      <c r="AA145" s="2253"/>
      <c r="AB145" s="2254"/>
      <c r="AC145" s="2252" t="s">
        <v>656</v>
      </c>
      <c r="AD145" s="2253"/>
      <c r="AE145" s="2253"/>
      <c r="AF145" s="2253"/>
      <c r="AG145" s="2253"/>
      <c r="AH145" s="2253"/>
      <c r="AI145" s="2253"/>
      <c r="AJ145" s="2252"/>
      <c r="AK145" s="2253"/>
      <c r="AL145" s="2253"/>
      <c r="AM145" s="2253"/>
      <c r="AN145" s="2253"/>
      <c r="AO145" s="2253"/>
      <c r="AP145" s="2254"/>
      <c r="AQ145" s="2252"/>
      <c r="AR145" s="2253"/>
      <c r="AS145" s="2253"/>
      <c r="AT145" s="2253"/>
      <c r="AU145" s="2253"/>
      <c r="AV145" s="2253"/>
      <c r="AW145" s="2254"/>
      <c r="AX145" s="2252"/>
      <c r="AY145" s="2253"/>
      <c r="AZ145" s="2253"/>
      <c r="BA145" s="2253"/>
      <c r="BB145" s="2253"/>
      <c r="BC145" s="2253"/>
      <c r="BD145" s="2254"/>
      <c r="BE145" s="2252"/>
      <c r="BF145" s="2253"/>
      <c r="BG145" s="2253"/>
      <c r="BH145" s="2253"/>
      <c r="BI145" s="2253"/>
      <c r="BJ145" s="2253"/>
      <c r="BK145" s="2254"/>
      <c r="BL145" s="2252"/>
      <c r="BM145" s="2253"/>
      <c r="BN145" s="2253"/>
      <c r="BO145" s="2253"/>
      <c r="BP145" s="2253"/>
      <c r="BQ145" s="2253"/>
      <c r="BR145" s="2254"/>
      <c r="BS145" s="2252"/>
      <c r="BT145" s="2253"/>
      <c r="BU145" s="2253"/>
      <c r="BV145" s="2253"/>
      <c r="BW145" s="2253"/>
      <c r="BX145" s="2253"/>
      <c r="BY145" s="2254"/>
      <c r="BZ145" s="2252"/>
      <c r="CA145" s="2253"/>
      <c r="CB145" s="2253"/>
      <c r="CC145" s="2253"/>
      <c r="CD145" s="2253"/>
      <c r="CE145" s="2253"/>
      <c r="CF145" s="2254"/>
      <c r="CG145" s="2252"/>
      <c r="CH145" s="2253"/>
      <c r="CI145" s="2253"/>
      <c r="CJ145" s="2253"/>
      <c r="CK145" s="2253"/>
      <c r="CL145" s="2253"/>
      <c r="CM145" s="4498"/>
      <c r="CN145" s="2254"/>
      <c r="CO145" s="1314" t="s">
        <v>645</v>
      </c>
      <c r="CP145" s="1649"/>
      <c r="CQ145" s="1631"/>
      <c r="CR145" s="1631" t="str">
        <f>IF(T145="","",T145)</f>
        <v>Группа потребителей</v>
      </c>
      <c r="CS145" s="1631"/>
      <c r="CT145" s="1631"/>
      <c r="CU145" s="1642">
        <v>0</v>
      </c>
    </row>
    <row s="1857" customFormat="1" customHeight="1" ht="23.25">
      <c r="A146" s="1370"/>
      <c r="B146" s="1370"/>
      <c r="C146" s="1370"/>
      <c r="D146" s="1370"/>
      <c r="E146" s="2266"/>
      <c r="F146" s="2266" t="s">
        <v>142</v>
      </c>
      <c r="G146" s="2266"/>
      <c r="H146" s="2266"/>
      <c r="I146" s="2293"/>
      <c r="J146" s="2293"/>
      <c r="K146" s="2263" t="str">
        <f>J145&amp;".1"</f>
        <v>1.11.1.1.1.1</v>
      </c>
      <c r="L146" s="1376"/>
      <c r="M146" s="1783"/>
      <c r="N146" s="1783"/>
      <c r="O146" s="1783"/>
      <c r="P146" s="2381"/>
      <c r="Q146" s="2381"/>
      <c r="R146" s="364">
        <v>1</v>
      </c>
      <c r="S146" s="2280" t="str">
        <f>$K146</f>
        <v>1.11.1.1.1.1</v>
      </c>
      <c r="T146" s="1444" t="s">
        <v>657</v>
      </c>
      <c r="U146" s="307"/>
      <c r="V146" s="758"/>
      <c r="W146" s="758"/>
      <c r="X146" s="1264"/>
      <c r="Y146" s="2609"/>
      <c r="Z146" s="2114" t="s">
        <v>66</v>
      </c>
      <c r="AA146" s="2609"/>
      <c r="AB146" s="2114" t="s">
        <v>66</v>
      </c>
      <c r="AC146" s="758">
        <v>32.42</v>
      </c>
      <c r="AD146" s="758"/>
      <c r="AE146" s="1264"/>
      <c r="AF146" s="2609">
        <v>44896</v>
      </c>
      <c r="AG146" s="2114" t="s">
        <v>66</v>
      </c>
      <c r="AH146" s="2294">
        <v>45291</v>
      </c>
      <c r="AI146" s="2114" t="s">
        <v>66</v>
      </c>
      <c r="AJ146" s="758">
        <v>32.42</v>
      </c>
      <c r="AK146" s="758"/>
      <c r="AL146" s="1264"/>
      <c r="AM146" s="2609">
        <v>45292</v>
      </c>
      <c r="AN146" s="2114" t="s">
        <v>66</v>
      </c>
      <c r="AO146" s="2609">
        <v>45473</v>
      </c>
      <c r="AP146" s="2114" t="s">
        <v>66</v>
      </c>
      <c r="AQ146" s="758">
        <v>35.6</v>
      </c>
      <c r="AR146" s="758"/>
      <c r="AS146" s="1264"/>
      <c r="AT146" s="2609">
        <v>45474</v>
      </c>
      <c r="AU146" s="2114" t="s">
        <v>66</v>
      </c>
      <c r="AV146" s="2609">
        <v>45657</v>
      </c>
      <c r="AW146" s="2114" t="s">
        <v>66</v>
      </c>
      <c r="AX146" s="758">
        <v>35.6</v>
      </c>
      <c r="AY146" s="758"/>
      <c r="AZ146" s="1264"/>
      <c r="BA146" s="2609">
        <v>45658</v>
      </c>
      <c r="BB146" s="2114" t="s">
        <v>66</v>
      </c>
      <c r="BC146" s="2609">
        <v>45838</v>
      </c>
      <c r="BD146" s="2114" t="s">
        <v>66</v>
      </c>
      <c r="BE146" s="758">
        <v>52.08</v>
      </c>
      <c r="BF146" s="758"/>
      <c r="BG146" s="1264"/>
      <c r="BH146" s="2609">
        <v>45839</v>
      </c>
      <c r="BI146" s="2114" t="s">
        <v>66</v>
      </c>
      <c r="BJ146" s="2609">
        <v>46022</v>
      </c>
      <c r="BK146" s="2114" t="s">
        <v>66</v>
      </c>
      <c r="BL146" s="758">
        <v>31.84</v>
      </c>
      <c r="BM146" s="758"/>
      <c r="BN146" s="1264"/>
      <c r="BO146" s="2609">
        <v>46023</v>
      </c>
      <c r="BP146" s="2114" t="s">
        <v>66</v>
      </c>
      <c r="BQ146" s="2609">
        <v>46203</v>
      </c>
      <c r="BR146" s="2114" t="s">
        <v>66</v>
      </c>
      <c r="BS146" s="758">
        <v>31.82</v>
      </c>
      <c r="BT146" s="758"/>
      <c r="BU146" s="1264"/>
      <c r="BV146" s="2609">
        <v>46204</v>
      </c>
      <c r="BW146" s="2114" t="s">
        <v>66</v>
      </c>
      <c r="BX146" s="2609">
        <v>46387</v>
      </c>
      <c r="BY146" s="2114" t="s">
        <v>66</v>
      </c>
      <c r="BZ146" s="758">
        <v>31.82</v>
      </c>
      <c r="CA146" s="758"/>
      <c r="CB146" s="1264"/>
      <c r="CC146" s="2609">
        <v>46388</v>
      </c>
      <c r="CD146" s="2114" t="s">
        <v>66</v>
      </c>
      <c r="CE146" s="2609">
        <v>46568</v>
      </c>
      <c r="CF146" s="2114" t="s">
        <v>66</v>
      </c>
      <c r="CG146" s="758">
        <v>34.17</v>
      </c>
      <c r="CH146" s="758"/>
      <c r="CI146" s="1264"/>
      <c r="CJ146" s="2609">
        <v>46569</v>
      </c>
      <c r="CK146" s="2114" t="s">
        <v>66</v>
      </c>
      <c r="CL146" s="2609">
        <v>46752</v>
      </c>
      <c r="CM146" s="2114" t="s">
        <v>66</v>
      </c>
      <c r="CN146" s="1445"/>
      <c r="CO1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46" s="1649">
        <f>STRCHECKDATE(V147:CN147)</f>
      </c>
      <c r="CQ146" s="1631"/>
      <c r="CR146" s="1631" t="str">
        <f>IF(T146="","",T146)</f>
        <v>Тариф по водоснабжению без НДС</v>
      </c>
      <c r="CS146" s="1631"/>
      <c r="CT146" s="1631"/>
      <c r="CU146" s="1642">
        <v>0</v>
      </c>
    </row>
    <row s="1857" customFormat="1" customHeight="1" ht="14.25">
      <c r="A147" s="1370"/>
      <c r="B147" s="1370"/>
      <c r="C147" s="1370"/>
      <c r="D147" s="1370"/>
      <c r="E147" s="2266"/>
      <c r="F147" s="2266" t="s">
        <v>142</v>
      </c>
      <c r="G147" s="2266"/>
      <c r="H147" s="2266"/>
      <c r="I147" s="2293"/>
      <c r="J147" s="2293"/>
      <c r="K147" s="2263"/>
      <c r="L147" s="1376"/>
      <c r="M147" s="1783"/>
      <c r="N147" s="1783"/>
      <c r="O147" s="1783"/>
      <c r="P147" s="2381"/>
      <c r="Q147" s="2381"/>
      <c r="R147" s="364"/>
      <c r="S147" s="2520"/>
      <c r="T147" s="307"/>
      <c r="U147" s="307"/>
      <c r="V147" s="332"/>
      <c r="W147" s="332"/>
      <c r="X147" s="335" t="str">
        <f>Y146&amp;"-"&amp;AA146</f>
        <v>-</v>
      </c>
      <c r="Y147" s="2316"/>
      <c r="Z147" s="2114"/>
      <c r="AA147" s="2316"/>
      <c r="AB147" s="2114"/>
      <c r="AC147" s="332"/>
      <c r="AD147" s="332"/>
      <c r="AE147" s="335" t="str">
        <f>AF146&amp;"-"&amp;AH146</f>
        <v>44896-45291</v>
      </c>
      <c r="AF147" s="2316"/>
      <c r="AG147" s="2114"/>
      <c r="AH147" s="2295"/>
      <c r="AI147" s="2114"/>
      <c r="AJ147" s="332"/>
      <c r="AK147" s="332"/>
      <c r="AL147" s="335" t="str">
        <f>AM146&amp;"-"&amp;AO146</f>
        <v>45292-45473</v>
      </c>
      <c r="AM147" s="2316"/>
      <c r="AN147" s="2114"/>
      <c r="AO147" s="2316"/>
      <c r="AP147" s="2114"/>
      <c r="AQ147" s="332"/>
      <c r="AR147" s="332"/>
      <c r="AS147" s="335" t="str">
        <f>AT146&amp;"-"&amp;AV146</f>
        <v>45474-45657</v>
      </c>
      <c r="AT147" s="2316"/>
      <c r="AU147" s="2114"/>
      <c r="AV147" s="2316"/>
      <c r="AW147" s="2114"/>
      <c r="AX147" s="332"/>
      <c r="AY147" s="332"/>
      <c r="AZ147" s="335" t="str">
        <f>BA146&amp;"-"&amp;BC146</f>
        <v>45658-45838</v>
      </c>
      <c r="BA147" s="2316"/>
      <c r="BB147" s="2114"/>
      <c r="BC147" s="2316"/>
      <c r="BD147" s="2114"/>
      <c r="BE147" s="332"/>
      <c r="BF147" s="332"/>
      <c r="BG147" s="335" t="str">
        <f>BH146&amp;"-"&amp;BJ146</f>
        <v>45839-46022</v>
      </c>
      <c r="BH147" s="2316"/>
      <c r="BI147" s="2114"/>
      <c r="BJ147" s="2316"/>
      <c r="BK147" s="2114"/>
      <c r="BL147" s="332"/>
      <c r="BM147" s="332"/>
      <c r="BN147" s="335" t="str">
        <f>BO146&amp;"-"&amp;BQ146</f>
        <v>46023-46203</v>
      </c>
      <c r="BO147" s="2316"/>
      <c r="BP147" s="2114"/>
      <c r="BQ147" s="2316"/>
      <c r="BR147" s="2114"/>
      <c r="BS147" s="332"/>
      <c r="BT147" s="332"/>
      <c r="BU147" s="335" t="str">
        <f>BV146&amp;"-"&amp;BX146</f>
        <v>46204-46387</v>
      </c>
      <c r="BV147" s="2316"/>
      <c r="BW147" s="2114"/>
      <c r="BX147" s="2316"/>
      <c r="BY147" s="2114"/>
      <c r="BZ147" s="332"/>
      <c r="CA147" s="332"/>
      <c r="CB147" s="335" t="str">
        <f>CC146&amp;"-"&amp;CE146</f>
        <v>46388-46568</v>
      </c>
      <c r="CC147" s="2316"/>
      <c r="CD147" s="2114"/>
      <c r="CE147" s="2316"/>
      <c r="CF147" s="2114"/>
      <c r="CG147" s="332"/>
      <c r="CH147" s="332"/>
      <c r="CI147" s="335" t="str">
        <f>CJ146&amp;"-"&amp;CL146</f>
        <v>46569-46752</v>
      </c>
      <c r="CJ147" s="2316"/>
      <c r="CK147" s="2114"/>
      <c r="CL147" s="2316"/>
      <c r="CM147" s="2114"/>
      <c r="CN147" s="1446"/>
      <c r="CO147" s="2356"/>
      <c r="CP147" s="1649"/>
      <c r="CQ147" s="1631"/>
      <c r="CR147" s="1631" t="str">
        <f>IF(T147="","",T147)</f>
        <v/>
      </c>
      <c r="CS147" s="1631"/>
      <c r="CT147" s="1631"/>
      <c r="CU147" s="1642">
        <v>0</v>
      </c>
    </row>
    <row s="1857" customFormat="1" customHeight="1" ht="21">
      <c r="A148" s="1370"/>
      <c r="B148" s="1370"/>
      <c r="C148" s="1370"/>
      <c r="D148" s="1370"/>
      <c r="E148" s="2266"/>
      <c r="F148" s="2266" t="s">
        <v>142</v>
      </c>
      <c r="G148" s="2266"/>
      <c r="H148" s="2266"/>
      <c r="I148" s="2293"/>
      <c r="J148" s="2263"/>
      <c r="K148" s="1370"/>
      <c r="L148" s="1376"/>
      <c r="M148" s="1783"/>
      <c r="N148" s="1783"/>
      <c r="O148" s="1783"/>
      <c r="P148" s="2381"/>
      <c r="Q148" s="2381"/>
      <c r="R148" s="363"/>
      <c r="S148" s="3486"/>
      <c r="T148" s="3487" t="s">
        <v>646</v>
      </c>
      <c r="U148" s="3488"/>
      <c r="V148" s="3489"/>
      <c r="W148" s="3490"/>
      <c r="X148" s="3491"/>
      <c r="Y148" s="3492"/>
      <c r="Z148" s="3493"/>
      <c r="AA148" s="3494"/>
      <c r="AB148" s="3495"/>
      <c r="AC148" s="3496"/>
      <c r="AD148" s="3497"/>
      <c r="AE148" s="3498"/>
      <c r="AF148" s="3499"/>
      <c r="AG148" s="3500"/>
      <c r="AH148" s="3501"/>
      <c r="AI148" s="3502"/>
      <c r="AJ148" s="10842"/>
      <c r="AK148" s="10843"/>
      <c r="AL148" s="10844"/>
      <c r="AM148" s="10845"/>
      <c r="AN148" s="10846"/>
      <c r="AO148" s="10847"/>
      <c r="AP148" s="10848"/>
      <c r="AQ148" s="10849"/>
      <c r="AR148" s="10850"/>
      <c r="AS148" s="10851"/>
      <c r="AT148" s="10852"/>
      <c r="AU148" s="10853"/>
      <c r="AV148" s="10854"/>
      <c r="AW148" s="10855"/>
      <c r="AX148" s="10856"/>
      <c r="AY148" s="10857"/>
      <c r="AZ148" s="10858"/>
      <c r="BA148" s="10859"/>
      <c r="BB148" s="10860"/>
      <c r="BC148" s="10861"/>
      <c r="BD148" s="10862"/>
      <c r="BE148" s="10863"/>
      <c r="BF148" s="10864"/>
      <c r="BG148" s="10865"/>
      <c r="BH148" s="10866"/>
      <c r="BI148" s="10867"/>
      <c r="BJ148" s="10868"/>
      <c r="BK148" s="10869"/>
      <c r="BL148" s="10870"/>
      <c r="BM148" s="10871"/>
      <c r="BN148" s="10872"/>
      <c r="BO148" s="10873"/>
      <c r="BP148" s="10874"/>
      <c r="BQ148" s="10875"/>
      <c r="BR148" s="10876"/>
      <c r="BS148" s="10877"/>
      <c r="BT148" s="10878"/>
      <c r="BU148" s="10879"/>
      <c r="BV148" s="10880"/>
      <c r="BW148" s="10881"/>
      <c r="BX148" s="10882"/>
      <c r="BY148" s="10883"/>
      <c r="BZ148" s="10884"/>
      <c r="CA148" s="10885"/>
      <c r="CB148" s="10886"/>
      <c r="CC148" s="10887"/>
      <c r="CD148" s="10888"/>
      <c r="CE148" s="10889"/>
      <c r="CF148" s="10890"/>
      <c r="CG148" s="10891"/>
      <c r="CH148" s="10892"/>
      <c r="CI148" s="10893"/>
      <c r="CJ148" s="10894"/>
      <c r="CK148" s="10895"/>
      <c r="CL148" s="10896"/>
      <c r="CM148" s="12724"/>
      <c r="CN148" s="3510"/>
      <c r="CO148" s="1265" t="s">
        <v>647</v>
      </c>
      <c r="CP148" s="1649"/>
      <c r="CQ148" s="1631"/>
      <c r="CR148" s="1631" t="str">
        <f>IF(T148="","",T148)</f>
        <v>Добавить значение признака дифференциации</v>
      </c>
      <c r="CS148" s="1631"/>
      <c r="CT148" s="1631"/>
      <c r="CU148" s="1642">
        <v>0</v>
      </c>
    </row>
    <row s="1857" customFormat="1" customHeight="1" ht="21">
      <c r="A149" s="1370"/>
      <c r="B149" s="1370"/>
      <c r="C149" s="1370"/>
      <c r="D149" s="1370"/>
      <c r="E149" s="2266"/>
      <c r="F149" s="2266" t="s">
        <v>142</v>
      </c>
      <c r="G149" s="2266"/>
      <c r="H149" s="2266"/>
      <c r="I149" s="2263"/>
      <c r="J149" s="1370"/>
      <c r="K149" s="1370"/>
      <c r="L149" s="1376"/>
      <c r="M149" s="1783"/>
      <c r="N149" s="1783"/>
      <c r="O149" s="1783"/>
      <c r="P149" s="2381"/>
      <c r="Q149" s="2381"/>
      <c r="R149" s="363"/>
      <c r="S149" s="3511"/>
      <c r="T149" s="3512" t="s">
        <v>575</v>
      </c>
      <c r="U149" s="3513"/>
      <c r="V149" s="3514"/>
      <c r="W149" s="3515"/>
      <c r="X149" s="3516"/>
      <c r="Y149" s="3517"/>
      <c r="Z149" s="3518"/>
      <c r="AA149" s="3519"/>
      <c r="AB149" s="3520"/>
      <c r="AC149" s="3521"/>
      <c r="AD149" s="3522"/>
      <c r="AE149" s="3523"/>
      <c r="AF149" s="3524"/>
      <c r="AG149" s="3525"/>
      <c r="AH149" s="3526"/>
      <c r="AI149" s="3527"/>
      <c r="AJ149" s="10898"/>
      <c r="AK149" s="10899"/>
      <c r="AL149" s="10900"/>
      <c r="AM149" s="10901"/>
      <c r="AN149" s="10902"/>
      <c r="AO149" s="10903"/>
      <c r="AP149" s="10904"/>
      <c r="AQ149" s="10905"/>
      <c r="AR149" s="10906"/>
      <c r="AS149" s="10907"/>
      <c r="AT149" s="10908"/>
      <c r="AU149" s="10909"/>
      <c r="AV149" s="10910"/>
      <c r="AW149" s="10911"/>
      <c r="AX149" s="10912"/>
      <c r="AY149" s="10913"/>
      <c r="AZ149" s="10914"/>
      <c r="BA149" s="10915"/>
      <c r="BB149" s="10916"/>
      <c r="BC149" s="10917"/>
      <c r="BD149" s="10918"/>
      <c r="BE149" s="10919"/>
      <c r="BF149" s="10920"/>
      <c r="BG149" s="10921"/>
      <c r="BH149" s="10922"/>
      <c r="BI149" s="10923"/>
      <c r="BJ149" s="10924"/>
      <c r="BK149" s="10925"/>
      <c r="BL149" s="10926"/>
      <c r="BM149" s="10927"/>
      <c r="BN149" s="10928"/>
      <c r="BO149" s="10929"/>
      <c r="BP149" s="10930"/>
      <c r="BQ149" s="10931"/>
      <c r="BR149" s="10932"/>
      <c r="BS149" s="10933"/>
      <c r="BT149" s="10934"/>
      <c r="BU149" s="10935"/>
      <c r="BV149" s="10936"/>
      <c r="BW149" s="10937"/>
      <c r="BX149" s="10938"/>
      <c r="BY149" s="10939"/>
      <c r="BZ149" s="10940"/>
      <c r="CA149" s="10941"/>
      <c r="CB149" s="10942"/>
      <c r="CC149" s="10943"/>
      <c r="CD149" s="10944"/>
      <c r="CE149" s="10945"/>
      <c r="CF149" s="10946"/>
      <c r="CG149" s="10947"/>
      <c r="CH149" s="10948"/>
      <c r="CI149" s="10949"/>
      <c r="CJ149" s="10950"/>
      <c r="CK149" s="10951"/>
      <c r="CL149" s="10952"/>
      <c r="CM149" s="12725"/>
      <c r="CN149" s="3535"/>
      <c r="CO149" s="3536"/>
      <c r="CP149" s="1649"/>
      <c r="CQ149" s="1631"/>
      <c r="CR149" s="1631" t="str">
        <f>IF(T149="","",T149)</f>
        <v>Добавить группу потребителей</v>
      </c>
      <c r="CS149" s="1631"/>
      <c r="CT149" s="1631"/>
      <c r="CU149" s="1642">
        <v>0</v>
      </c>
    </row>
    <row s="1857" customFormat="1" customHeight="1" ht="14.25">
      <c r="A150" s="1370"/>
      <c r="B150" s="1370"/>
      <c r="C150" s="1370"/>
      <c r="D150" s="1370"/>
      <c r="E150" s="2266"/>
      <c r="F150" s="2266" t="s">
        <v>142</v>
      </c>
      <c r="G150" s="2266"/>
      <c r="H150" s="2265"/>
      <c r="I150" s="1370"/>
      <c r="J150" s="1370"/>
      <c r="K150" s="1370"/>
      <c r="L150" s="1376"/>
      <c r="M150" s="1372"/>
      <c r="N150" s="1372"/>
      <c r="O150" s="1373"/>
      <c r="P150" s="1830"/>
      <c r="Q150" s="382"/>
      <c r="R150" s="362"/>
      <c r="S150" s="3537"/>
      <c r="T150" s="3538" t="s">
        <v>648</v>
      </c>
      <c r="U150" s="3539"/>
      <c r="V150" s="3540"/>
      <c r="W150" s="3541"/>
      <c r="X150" s="3542"/>
      <c r="Y150" s="3543"/>
      <c r="Z150" s="3544"/>
      <c r="AA150" s="3545"/>
      <c r="AB150" s="3546"/>
      <c r="AC150" s="3547"/>
      <c r="AD150" s="3548"/>
      <c r="AE150" s="3549"/>
      <c r="AF150" s="3550"/>
      <c r="AG150" s="3551"/>
      <c r="AH150" s="3552"/>
      <c r="AI150" s="3553"/>
      <c r="AJ150" s="10954"/>
      <c r="AK150" s="10955"/>
      <c r="AL150" s="10956"/>
      <c r="AM150" s="10957"/>
      <c r="AN150" s="10958"/>
      <c r="AO150" s="10959"/>
      <c r="AP150" s="10960"/>
      <c r="AQ150" s="10961"/>
      <c r="AR150" s="10962"/>
      <c r="AS150" s="10963"/>
      <c r="AT150" s="10964"/>
      <c r="AU150" s="10965"/>
      <c r="AV150" s="10966"/>
      <c r="AW150" s="10967"/>
      <c r="AX150" s="10968"/>
      <c r="AY150" s="10969"/>
      <c r="AZ150" s="10970"/>
      <c r="BA150" s="10971"/>
      <c r="BB150" s="10972"/>
      <c r="BC150" s="10973"/>
      <c r="BD150" s="10974"/>
      <c r="BE150" s="10975"/>
      <c r="BF150" s="10976"/>
      <c r="BG150" s="10977"/>
      <c r="BH150" s="10978"/>
      <c r="BI150" s="10979"/>
      <c r="BJ150" s="10980"/>
      <c r="BK150" s="10981"/>
      <c r="BL150" s="10982"/>
      <c r="BM150" s="10983"/>
      <c r="BN150" s="10984"/>
      <c r="BO150" s="10985"/>
      <c r="BP150" s="10986"/>
      <c r="BQ150" s="10987"/>
      <c r="BR150" s="10988"/>
      <c r="BS150" s="10989"/>
      <c r="BT150" s="10990"/>
      <c r="BU150" s="10991"/>
      <c r="BV150" s="10992"/>
      <c r="BW150" s="10993"/>
      <c r="BX150" s="10994"/>
      <c r="BY150" s="10995"/>
      <c r="BZ150" s="10996"/>
      <c r="CA150" s="10997"/>
      <c r="CB150" s="10998"/>
      <c r="CC150" s="10999"/>
      <c r="CD150" s="11000"/>
      <c r="CE150" s="11001"/>
      <c r="CF150" s="11002"/>
      <c r="CG150" s="11003"/>
      <c r="CH150" s="11004"/>
      <c r="CI150" s="11005"/>
      <c r="CJ150" s="11006"/>
      <c r="CK150" s="11007"/>
      <c r="CL150" s="11008"/>
      <c r="CM150" s="12726"/>
      <c r="CN150" s="3561"/>
      <c r="CO150" s="3562"/>
      <c r="CP150" s="1649"/>
      <c r="CQ150" s="1631"/>
      <c r="CR150" s="1631" t="str">
        <f>IF(T150="","",T150)</f>
        <v>Добавить наименование признака дифференциации</v>
      </c>
      <c r="CS150" s="1631"/>
      <c r="CT150" s="1631"/>
      <c r="CU150" s="1642">
        <v>0</v>
      </c>
    </row>
    <row s="629" customFormat="1" customHeight="1" ht="14.25">
      <c r="A151" s="1350"/>
      <c r="B151" s="1350"/>
      <c r="C151" s="1350"/>
      <c r="D151" s="1350"/>
      <c r="E151" s="2266"/>
      <c r="F151" s="2265" t="s">
        <v>142</v>
      </c>
      <c r="G151" s="1350"/>
      <c r="H151" s="1350"/>
      <c r="I151" s="1350"/>
      <c r="J151" s="1350"/>
      <c r="K151" s="1350"/>
      <c r="L151" s="1552"/>
      <c r="M151" s="1328"/>
      <c r="N151" s="1328"/>
      <c r="O151" s="1649"/>
      <c r="P151" s="1323"/>
      <c r="Q151" s="1351"/>
      <c r="R151" s="1323"/>
      <c r="S151" s="1329"/>
      <c r="T151" s="1332" t="s">
        <v>316</v>
      </c>
      <c r="U151" s="1331"/>
      <c r="V151" s="1331"/>
      <c r="W151" s="1331"/>
      <c r="X151" s="1331"/>
      <c r="Y151" s="1331"/>
      <c r="Z151" s="1331"/>
      <c r="AA151" s="1331"/>
      <c r="AB151" s="1331"/>
      <c r="AC151" s="1331"/>
      <c r="AD151" s="1331"/>
      <c r="AE151" s="1331"/>
      <c r="AF151" s="1331"/>
      <c r="AG151" s="1331"/>
      <c r="AH151" s="1331"/>
      <c r="AI151" s="1331"/>
      <c r="AJ151" s="1331"/>
      <c r="AK151" s="1331"/>
      <c r="AL151" s="1331"/>
      <c r="AM151" s="1331"/>
      <c r="AN151" s="1331"/>
      <c r="AO151" s="1331"/>
      <c r="AP151" s="1331"/>
      <c r="AQ151" s="1331"/>
      <c r="AR151" s="1331"/>
      <c r="AS151" s="1331"/>
      <c r="AT151" s="1331"/>
      <c r="AU151" s="1331"/>
      <c r="AV151" s="1331"/>
      <c r="AW151" s="1331"/>
      <c r="AX151" s="1331"/>
      <c r="AY151" s="1331"/>
      <c r="AZ151" s="1331"/>
      <c r="BA151" s="1331"/>
      <c r="BB151" s="1331"/>
      <c r="BC151" s="1331"/>
      <c r="BD151" s="1331"/>
      <c r="BE151" s="1331"/>
      <c r="BF151" s="1331"/>
      <c r="BG151" s="1331"/>
      <c r="BH151" s="1331"/>
      <c r="BI151" s="1331"/>
      <c r="BJ151" s="1331"/>
      <c r="BK151" s="1331"/>
      <c r="BL151" s="1331"/>
      <c r="BM151" s="1331"/>
      <c r="BN151" s="1331"/>
      <c r="BO151" s="1331"/>
      <c r="BP151" s="1331"/>
      <c r="BQ151" s="1331"/>
      <c r="BR151" s="1331"/>
      <c r="BS151" s="1331"/>
      <c r="BT151" s="1331"/>
      <c r="BU151" s="1331"/>
      <c r="BV151" s="1331"/>
      <c r="BW151" s="1331"/>
      <c r="BX151" s="1331"/>
      <c r="BY151" s="1331"/>
      <c r="BZ151" s="1331"/>
      <c r="CA151" s="1331"/>
      <c r="CB151" s="1331"/>
      <c r="CC151" s="1331"/>
      <c r="CD151" s="1331"/>
      <c r="CE151" s="1331"/>
      <c r="CF151" s="1331"/>
      <c r="CG151" s="1331"/>
      <c r="CH151" s="1331"/>
      <c r="CI151" s="1331"/>
      <c r="CJ151" s="1331"/>
      <c r="CK151" s="1331"/>
      <c r="CL151" s="1331"/>
      <c r="CM151" s="1331"/>
      <c r="CN151" s="1331"/>
      <c r="CO151" s="1331"/>
      <c r="CP151" s="1649"/>
      <c r="CQ151" s="1631"/>
      <c r="CR151" s="1631" t="str">
        <f>IF(T151="","",T151)</f>
        <v>Добавить централизованную систему для дифференциации</v>
      </c>
      <c r="CS151" s="1631"/>
      <c r="CT151" s="1631"/>
      <c r="CU151" s="1649">
        <v>0</v>
      </c>
    </row>
    <row s="1857" customFormat="1" customHeight="1" ht="23.25">
      <c r="A152" s="1370"/>
      <c r="B152" s="1370" t="s">
        <v>352</v>
      </c>
      <c r="C152" s="1370"/>
      <c r="D152" s="1370"/>
      <c r="E152" s="2266"/>
      <c r="F152" s="2265" t="s">
        <v>152</v>
      </c>
      <c r="G152" s="1370"/>
      <c r="H152" s="1370"/>
      <c r="I152" s="1370"/>
      <c r="J152" s="1370"/>
      <c r="K152" s="1370"/>
      <c r="L152" s="1376"/>
      <c r="M152" s="1372"/>
      <c r="N152" s="1372"/>
      <c r="O152" s="1372"/>
      <c r="P152" s="2132"/>
      <c r="Q152" s="359"/>
      <c r="R152" s="360"/>
      <c r="S152" s="2280" t="str">
        <f>INDEX(PT_DIFFERENTIATION_NUM_TER,MATCH(B152,PT_DIFFERENTIATION_TER_ID,0))</f>
        <v>1.12</v>
      </c>
      <c r="T152" s="1529" t="s">
        <v>560</v>
      </c>
      <c r="U152" s="307"/>
      <c r="V152" s="2249"/>
      <c r="W152" s="2250"/>
      <c r="X152" s="2250"/>
      <c r="Y152" s="2250"/>
      <c r="Z152" s="2250"/>
      <c r="AA152" s="2250"/>
      <c r="AB152" s="2251"/>
      <c r="AC152" s="2249" t="str">
        <f>INDEX(PT_DIFFERENTIATION_TER,MATCH(B152,PT_DIFFERENTIATION_TER_ID,0))</f>
        <v>Территория 12</v>
      </c>
      <c r="AD152" s="2250"/>
      <c r="AE152" s="2250"/>
      <c r="AF152" s="2250"/>
      <c r="AG152" s="2250"/>
      <c r="AH152" s="2250"/>
      <c r="AI152" s="2250"/>
      <c r="AJ152" s="2249"/>
      <c r="AK152" s="2250"/>
      <c r="AL152" s="2250"/>
      <c r="AM152" s="2250"/>
      <c r="AN152" s="2250"/>
      <c r="AO152" s="2250"/>
      <c r="AP152" s="2251"/>
      <c r="AQ152" s="2249"/>
      <c r="AR152" s="2250"/>
      <c r="AS152" s="2250"/>
      <c r="AT152" s="2250"/>
      <c r="AU152" s="2250"/>
      <c r="AV152" s="2250"/>
      <c r="AW152" s="2251"/>
      <c r="AX152" s="2249"/>
      <c r="AY152" s="2250"/>
      <c r="AZ152" s="2250"/>
      <c r="BA152" s="2250"/>
      <c r="BB152" s="2250"/>
      <c r="BC152" s="2250"/>
      <c r="BD152" s="2251"/>
      <c r="BE152" s="2249"/>
      <c r="BF152" s="2250"/>
      <c r="BG152" s="2250"/>
      <c r="BH152" s="2250"/>
      <c r="BI152" s="2250"/>
      <c r="BJ152" s="2250"/>
      <c r="BK152" s="2251"/>
      <c r="BL152" s="2249"/>
      <c r="BM152" s="2250"/>
      <c r="BN152" s="2250"/>
      <c r="BO152" s="2250"/>
      <c r="BP152" s="2250"/>
      <c r="BQ152" s="2250"/>
      <c r="BR152" s="2251"/>
      <c r="BS152" s="2249"/>
      <c r="BT152" s="2250"/>
      <c r="BU152" s="2250"/>
      <c r="BV152" s="2250"/>
      <c r="BW152" s="2250"/>
      <c r="BX152" s="2250"/>
      <c r="BY152" s="2251"/>
      <c r="BZ152" s="2249"/>
      <c r="CA152" s="2250"/>
      <c r="CB152" s="2250"/>
      <c r="CC152" s="2250"/>
      <c r="CD152" s="2250"/>
      <c r="CE152" s="2250"/>
      <c r="CF152" s="2251"/>
      <c r="CG152" s="2249"/>
      <c r="CH152" s="2250"/>
      <c r="CI152" s="2250"/>
      <c r="CJ152" s="2250"/>
      <c r="CK152" s="2250"/>
      <c r="CL152" s="2250"/>
      <c r="CM152" s="4492"/>
      <c r="CN152" s="2251"/>
      <c r="CO152" s="1265" t="s">
        <v>561</v>
      </c>
      <c r="CP152" s="1649"/>
      <c r="CQ152" s="1631"/>
      <c r="CR152" s="1631" t="str">
        <f>IF(T152="","",T152)</f>
        <v>Территория действия тарифа</v>
      </c>
      <c r="CS152" s="1631"/>
      <c r="CT152" s="1631"/>
      <c r="CU152" s="1642">
        <v>0</v>
      </c>
    </row>
    <row s="1857" customFormat="1" customHeight="1" ht="23.25">
      <c r="A153" s="1370"/>
      <c r="B153" s="1370"/>
      <c r="C153" s="1370" t="s">
        <v>353</v>
      </c>
      <c r="D153" s="1370"/>
      <c r="E153" s="2266"/>
      <c r="F153" s="2266" t="s">
        <v>147</v>
      </c>
      <c r="G153" s="2265">
        <v>1</v>
      </c>
      <c r="H153" s="1370"/>
      <c r="I153" s="1370"/>
      <c r="J153" s="1370"/>
      <c r="K153" s="1370"/>
      <c r="L153" s="1376"/>
      <c r="M153" s="1372"/>
      <c r="N153" s="1372"/>
      <c r="O153" s="1372"/>
      <c r="P153" s="361"/>
      <c r="Q153" s="359"/>
      <c r="R153" s="360"/>
      <c r="S153" s="2280" t="str">
        <f>INDEX(PT_DIFFERENTIATION_NUM_CS,MATCH(C153,PT_DIFFERENTIATION_CS_ID,0))</f>
        <v>1.12.1</v>
      </c>
      <c r="T153" s="316" t="s">
        <v>641</v>
      </c>
      <c r="U153" s="307"/>
      <c r="V153" s="2249"/>
      <c r="W153" s="2250"/>
      <c r="X153" s="2250"/>
      <c r="Y153" s="2250"/>
      <c r="Z153" s="2250"/>
      <c r="AA153" s="2250"/>
      <c r="AB153" s="2251"/>
      <c r="AC153" s="2249" t="str">
        <f>INDEX(PT_DIFFERENTIATION_CS,MATCH(C153,PT_DIFFERENTIATION_CS_ID,0))</f>
        <v>Краснояружский район</v>
      </c>
      <c r="AD153" s="2250"/>
      <c r="AE153" s="2250"/>
      <c r="AF153" s="2250"/>
      <c r="AG153" s="2250"/>
      <c r="AH153" s="2250"/>
      <c r="AI153" s="2250"/>
      <c r="AJ153" s="2249"/>
      <c r="AK153" s="2250"/>
      <c r="AL153" s="2250"/>
      <c r="AM153" s="2250"/>
      <c r="AN153" s="2250"/>
      <c r="AO153" s="2250"/>
      <c r="AP153" s="2251"/>
      <c r="AQ153" s="2249"/>
      <c r="AR153" s="2250"/>
      <c r="AS153" s="2250"/>
      <c r="AT153" s="2250"/>
      <c r="AU153" s="2250"/>
      <c r="AV153" s="2250"/>
      <c r="AW153" s="2251"/>
      <c r="AX153" s="2249"/>
      <c r="AY153" s="2250"/>
      <c r="AZ153" s="2250"/>
      <c r="BA153" s="2250"/>
      <c r="BB153" s="2250"/>
      <c r="BC153" s="2250"/>
      <c r="BD153" s="2251"/>
      <c r="BE153" s="2249"/>
      <c r="BF153" s="2250"/>
      <c r="BG153" s="2250"/>
      <c r="BH153" s="2250"/>
      <c r="BI153" s="2250"/>
      <c r="BJ153" s="2250"/>
      <c r="BK153" s="2251"/>
      <c r="BL153" s="2249"/>
      <c r="BM153" s="2250"/>
      <c r="BN153" s="2250"/>
      <c r="BO153" s="2250"/>
      <c r="BP153" s="2250"/>
      <c r="BQ153" s="2250"/>
      <c r="BR153" s="2251"/>
      <c r="BS153" s="2249"/>
      <c r="BT153" s="2250"/>
      <c r="BU153" s="2250"/>
      <c r="BV153" s="2250"/>
      <c r="BW153" s="2250"/>
      <c r="BX153" s="2250"/>
      <c r="BY153" s="2251"/>
      <c r="BZ153" s="2249"/>
      <c r="CA153" s="2250"/>
      <c r="CB153" s="2250"/>
      <c r="CC153" s="2250"/>
      <c r="CD153" s="2250"/>
      <c r="CE153" s="2250"/>
      <c r="CF153" s="2251"/>
      <c r="CG153" s="2249"/>
      <c r="CH153" s="2250"/>
      <c r="CI153" s="2250"/>
      <c r="CJ153" s="2250"/>
      <c r="CK153" s="2250"/>
      <c r="CL153" s="2250"/>
      <c r="CM153" s="4492"/>
      <c r="CN153" s="2251"/>
      <c r="CO153" s="1265" t="s">
        <v>642</v>
      </c>
      <c r="CP153" s="1649"/>
      <c r="CQ153" s="1631"/>
      <c r="CR153" s="1631" t="str">
        <f>IF(T153="","",T153)</f>
        <v>Наименование централизованной системы холодного водоснабжения</v>
      </c>
      <c r="CS153" s="1631"/>
      <c r="CT153" s="1631"/>
      <c r="CU153" s="1642">
        <v>0</v>
      </c>
    </row>
    <row s="1857" customFormat="1" customHeight="1" ht="23.25">
      <c r="A154" s="1370"/>
      <c r="B154" s="1370"/>
      <c r="C154" s="1370"/>
      <c r="D154" s="1370"/>
      <c r="E154" s="2266"/>
      <c r="F154" s="2266" t="s">
        <v>147</v>
      </c>
      <c r="G154" s="2266"/>
      <c r="H154" s="2266"/>
      <c r="I154" s="2263" t="str">
        <f>S153&amp;".1"</f>
        <v>1.12.1.1</v>
      </c>
      <c r="J154" s="1370"/>
      <c r="K154" s="1370"/>
      <c r="L154" s="1376"/>
      <c r="M154" s="1783"/>
      <c r="N154" s="1783"/>
      <c r="O154" s="1783"/>
      <c r="P154" s="2381">
        <v>1</v>
      </c>
      <c r="Q154" s="2381"/>
      <c r="R154" s="363"/>
      <c r="S154" s="2280" t="str">
        <f>$I154</f>
        <v>1.12.1.1</v>
      </c>
      <c r="T154" s="292" t="s">
        <v>643</v>
      </c>
      <c r="U154" s="307"/>
      <c r="V154" s="2357"/>
      <c r="W154" s="2358"/>
      <c r="X154" s="2358"/>
      <c r="Y154" s="2358"/>
      <c r="Z154" s="2358"/>
      <c r="AA154" s="2358"/>
      <c r="AB154" s="2359"/>
      <c r="AC154" s="2360" t="s">
        <v>155</v>
      </c>
      <c r="AD154" s="2361"/>
      <c r="AE154" s="2361"/>
      <c r="AF154" s="2361"/>
      <c r="AG154" s="2361"/>
      <c r="AH154" s="2361"/>
      <c r="AI154" s="2361"/>
      <c r="AJ154" s="2357"/>
      <c r="AK154" s="2358"/>
      <c r="AL154" s="2358"/>
      <c r="AM154" s="2358"/>
      <c r="AN154" s="2358"/>
      <c r="AO154" s="2358"/>
      <c r="AP154" s="2359"/>
      <c r="AQ154" s="2357"/>
      <c r="AR154" s="2358"/>
      <c r="AS154" s="2358"/>
      <c r="AT154" s="2358"/>
      <c r="AU154" s="2358"/>
      <c r="AV154" s="2358"/>
      <c r="AW154" s="2359"/>
      <c r="AX154" s="2357"/>
      <c r="AY154" s="2358"/>
      <c r="AZ154" s="2358"/>
      <c r="BA154" s="2358"/>
      <c r="BB154" s="2358"/>
      <c r="BC154" s="2358"/>
      <c r="BD154" s="2359"/>
      <c r="BE154" s="2357"/>
      <c r="BF154" s="2358"/>
      <c r="BG154" s="2358"/>
      <c r="BH154" s="2358"/>
      <c r="BI154" s="2358"/>
      <c r="BJ154" s="2358"/>
      <c r="BK154" s="2359"/>
      <c r="BL154" s="2357"/>
      <c r="BM154" s="2358"/>
      <c r="BN154" s="2358"/>
      <c r="BO154" s="2358"/>
      <c r="BP154" s="2358"/>
      <c r="BQ154" s="2358"/>
      <c r="BR154" s="2359"/>
      <c r="BS154" s="2357"/>
      <c r="BT154" s="2358"/>
      <c r="BU154" s="2358"/>
      <c r="BV154" s="2358"/>
      <c r="BW154" s="2358"/>
      <c r="BX154" s="2358"/>
      <c r="BY154" s="2359"/>
      <c r="BZ154" s="2357"/>
      <c r="CA154" s="2358"/>
      <c r="CB154" s="2358"/>
      <c r="CC154" s="2358"/>
      <c r="CD154" s="2358"/>
      <c r="CE154" s="2358"/>
      <c r="CF154" s="2359"/>
      <c r="CG154" s="2357"/>
      <c r="CH154" s="2358"/>
      <c r="CI154" s="2358"/>
      <c r="CJ154" s="2358"/>
      <c r="CK154" s="2358"/>
      <c r="CL154" s="2358"/>
      <c r="CM154" s="4495"/>
      <c r="CN154" s="2362"/>
      <c r="CO154" s="1265" t="s">
        <v>644</v>
      </c>
      <c r="CP154" s="1649"/>
      <c r="CQ154" s="1631"/>
      <c r="CR154" s="1631" t="str">
        <f>IF(T154="","",T154)</f>
        <v>Наименование признака дифференциации</v>
      </c>
      <c r="CS154" s="1631"/>
      <c r="CT154" s="1631"/>
      <c r="CU154" s="1642">
        <v>0</v>
      </c>
    </row>
    <row s="1857" customFormat="1" customHeight="1" ht="23.25">
      <c r="A155" s="1370"/>
      <c r="B155" s="1370"/>
      <c r="C155" s="1370"/>
      <c r="D155" s="1370"/>
      <c r="E155" s="2266"/>
      <c r="F155" s="2266" t="s">
        <v>147</v>
      </c>
      <c r="G155" s="2266"/>
      <c r="H155" s="2266"/>
      <c r="I155" s="2293"/>
      <c r="J155" s="2263" t="str">
        <f>I154&amp;".1"</f>
        <v>1.12.1.1.1</v>
      </c>
      <c r="K155" s="1370"/>
      <c r="L155" s="1376" t="s">
        <v>569</v>
      </c>
      <c r="M155" s="1783"/>
      <c r="N155" s="1783"/>
      <c r="O155" s="1783"/>
      <c r="P155" s="2381"/>
      <c r="Q155" s="2381">
        <v>1</v>
      </c>
      <c r="R155" s="364"/>
      <c r="S155" s="2280" t="str">
        <f>$J155</f>
        <v>1.12.1.1.1</v>
      </c>
      <c r="T155" s="293" t="s">
        <v>570</v>
      </c>
      <c r="U155" s="307"/>
      <c r="V155" s="2252"/>
      <c r="W155" s="2253"/>
      <c r="X155" s="2253"/>
      <c r="Y155" s="2253"/>
      <c r="Z155" s="2253"/>
      <c r="AA155" s="2253"/>
      <c r="AB155" s="2254"/>
      <c r="AC155" s="2252" t="s">
        <v>656</v>
      </c>
      <c r="AD155" s="2253"/>
      <c r="AE155" s="2253"/>
      <c r="AF155" s="2253"/>
      <c r="AG155" s="2253"/>
      <c r="AH155" s="2253"/>
      <c r="AI155" s="2253"/>
      <c r="AJ155" s="2252"/>
      <c r="AK155" s="2253"/>
      <c r="AL155" s="2253"/>
      <c r="AM155" s="2253"/>
      <c r="AN155" s="2253"/>
      <c r="AO155" s="2253"/>
      <c r="AP155" s="2254"/>
      <c r="AQ155" s="2252"/>
      <c r="AR155" s="2253"/>
      <c r="AS155" s="2253"/>
      <c r="AT155" s="2253"/>
      <c r="AU155" s="2253"/>
      <c r="AV155" s="2253"/>
      <c r="AW155" s="2254"/>
      <c r="AX155" s="2252"/>
      <c r="AY155" s="2253"/>
      <c r="AZ155" s="2253"/>
      <c r="BA155" s="2253"/>
      <c r="BB155" s="2253"/>
      <c r="BC155" s="2253"/>
      <c r="BD155" s="2254"/>
      <c r="BE155" s="2252"/>
      <c r="BF155" s="2253"/>
      <c r="BG155" s="2253"/>
      <c r="BH155" s="2253"/>
      <c r="BI155" s="2253"/>
      <c r="BJ155" s="2253"/>
      <c r="BK155" s="2254"/>
      <c r="BL155" s="2252"/>
      <c r="BM155" s="2253"/>
      <c r="BN155" s="2253"/>
      <c r="BO155" s="2253"/>
      <c r="BP155" s="2253"/>
      <c r="BQ155" s="2253"/>
      <c r="BR155" s="2254"/>
      <c r="BS155" s="2252"/>
      <c r="BT155" s="2253"/>
      <c r="BU155" s="2253"/>
      <c r="BV155" s="2253"/>
      <c r="BW155" s="2253"/>
      <c r="BX155" s="2253"/>
      <c r="BY155" s="2254"/>
      <c r="BZ155" s="2252"/>
      <c r="CA155" s="2253"/>
      <c r="CB155" s="2253"/>
      <c r="CC155" s="2253"/>
      <c r="CD155" s="2253"/>
      <c r="CE155" s="2253"/>
      <c r="CF155" s="2254"/>
      <c r="CG155" s="2252"/>
      <c r="CH155" s="2253"/>
      <c r="CI155" s="2253"/>
      <c r="CJ155" s="2253"/>
      <c r="CK155" s="2253"/>
      <c r="CL155" s="2253"/>
      <c r="CM155" s="4498"/>
      <c r="CN155" s="2254"/>
      <c r="CO155" s="1314" t="s">
        <v>645</v>
      </c>
      <c r="CP155" s="1649"/>
      <c r="CQ155" s="1631"/>
      <c r="CR155" s="1631" t="str">
        <f>IF(T155="","",T155)</f>
        <v>Группа потребителей</v>
      </c>
      <c r="CS155" s="1631"/>
      <c r="CT155" s="1631"/>
      <c r="CU155" s="1642">
        <v>0</v>
      </c>
    </row>
    <row s="1857" customFormat="1" customHeight="1" ht="23.25">
      <c r="A156" s="1370"/>
      <c r="B156" s="1370"/>
      <c r="C156" s="1370"/>
      <c r="D156" s="1370"/>
      <c r="E156" s="2266"/>
      <c r="F156" s="2266" t="s">
        <v>147</v>
      </c>
      <c r="G156" s="2266"/>
      <c r="H156" s="2266"/>
      <c r="I156" s="2293"/>
      <c r="J156" s="2293"/>
      <c r="K156" s="2263" t="str">
        <f>J155&amp;".1"</f>
        <v>1.12.1.1.1.1</v>
      </c>
      <c r="L156" s="1376"/>
      <c r="M156" s="1783"/>
      <c r="N156" s="1783"/>
      <c r="O156" s="1783"/>
      <c r="P156" s="2381"/>
      <c r="Q156" s="2381"/>
      <c r="R156" s="364">
        <v>1</v>
      </c>
      <c r="S156" s="2280" t="str">
        <f>$K156</f>
        <v>1.12.1.1.1.1</v>
      </c>
      <c r="T156" s="1444" t="s">
        <v>657</v>
      </c>
      <c r="U156" s="307"/>
      <c r="V156" s="758"/>
      <c r="W156" s="758"/>
      <c r="X156" s="1264"/>
      <c r="Y156" s="2609"/>
      <c r="Z156" s="2114" t="s">
        <v>66</v>
      </c>
      <c r="AA156" s="2609"/>
      <c r="AB156" s="2114" t="s">
        <v>66</v>
      </c>
      <c r="AC156" s="758">
        <v>38.86</v>
      </c>
      <c r="AD156" s="758"/>
      <c r="AE156" s="1264"/>
      <c r="AF156" s="2609">
        <v>44896</v>
      </c>
      <c r="AG156" s="2114" t="s">
        <v>66</v>
      </c>
      <c r="AH156" s="2294">
        <v>45291</v>
      </c>
      <c r="AI156" s="2114" t="s">
        <v>66</v>
      </c>
      <c r="AJ156" s="758">
        <v>38.86</v>
      </c>
      <c r="AK156" s="758"/>
      <c r="AL156" s="1264"/>
      <c r="AM156" s="2609">
        <v>45292</v>
      </c>
      <c r="AN156" s="2114" t="s">
        <v>66</v>
      </c>
      <c r="AO156" s="2609">
        <v>45473</v>
      </c>
      <c r="AP156" s="2114" t="s">
        <v>66</v>
      </c>
      <c r="AQ156" s="758">
        <v>44.3</v>
      </c>
      <c r="AR156" s="758"/>
      <c r="AS156" s="1264"/>
      <c r="AT156" s="2609">
        <v>45474</v>
      </c>
      <c r="AU156" s="2114" t="s">
        <v>66</v>
      </c>
      <c r="AV156" s="2609">
        <v>45657</v>
      </c>
      <c r="AW156" s="2114" t="s">
        <v>66</v>
      </c>
      <c r="AX156" s="758">
        <v>44.3</v>
      </c>
      <c r="AY156" s="758"/>
      <c r="AZ156" s="1264"/>
      <c r="BA156" s="2609">
        <v>45658</v>
      </c>
      <c r="BB156" s="2114" t="s">
        <v>66</v>
      </c>
      <c r="BC156" s="2609">
        <v>45838</v>
      </c>
      <c r="BD156" s="2114" t="s">
        <v>66</v>
      </c>
      <c r="BE156" s="758">
        <v>137.63</v>
      </c>
      <c r="BF156" s="758"/>
      <c r="BG156" s="1264"/>
      <c r="BH156" s="2609">
        <v>45839</v>
      </c>
      <c r="BI156" s="2114" t="s">
        <v>66</v>
      </c>
      <c r="BJ156" s="2609">
        <v>46022</v>
      </c>
      <c r="BK156" s="2114" t="s">
        <v>66</v>
      </c>
      <c r="BL156" s="758">
        <v>42.31</v>
      </c>
      <c r="BM156" s="758"/>
      <c r="BN156" s="1264"/>
      <c r="BO156" s="2609">
        <v>46023</v>
      </c>
      <c r="BP156" s="2114" t="s">
        <v>66</v>
      </c>
      <c r="BQ156" s="2609">
        <v>46203</v>
      </c>
      <c r="BR156" s="2114" t="s">
        <v>66</v>
      </c>
      <c r="BS156" s="758">
        <v>45.5</v>
      </c>
      <c r="BT156" s="758"/>
      <c r="BU156" s="1264"/>
      <c r="BV156" s="2609">
        <v>46204</v>
      </c>
      <c r="BW156" s="2114" t="s">
        <v>66</v>
      </c>
      <c r="BX156" s="2609">
        <v>46387</v>
      </c>
      <c r="BY156" s="2114" t="s">
        <v>66</v>
      </c>
      <c r="BZ156" s="758">
        <v>45.5</v>
      </c>
      <c r="CA156" s="758"/>
      <c r="CB156" s="1264"/>
      <c r="CC156" s="2609">
        <v>46388</v>
      </c>
      <c r="CD156" s="2114" t="s">
        <v>66</v>
      </c>
      <c r="CE156" s="2609">
        <v>46568</v>
      </c>
      <c r="CF156" s="2114" t="s">
        <v>66</v>
      </c>
      <c r="CG156" s="758">
        <v>45.63</v>
      </c>
      <c r="CH156" s="758"/>
      <c r="CI156" s="1264"/>
      <c r="CJ156" s="2609">
        <v>46569</v>
      </c>
      <c r="CK156" s="2114" t="s">
        <v>66</v>
      </c>
      <c r="CL156" s="2609">
        <v>46752</v>
      </c>
      <c r="CM156" s="2114" t="s">
        <v>66</v>
      </c>
      <c r="CN156" s="1445"/>
      <c r="CO15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56" s="1649">
        <f>STRCHECKDATE(V157:CN157)</f>
      </c>
      <c r="CQ156" s="1631"/>
      <c r="CR156" s="1631" t="str">
        <f>IF(T156="","",T156)</f>
        <v>Тариф по водоснабжению без НДС</v>
      </c>
      <c r="CS156" s="1631"/>
      <c r="CT156" s="1631"/>
      <c r="CU156" s="1642">
        <v>0</v>
      </c>
    </row>
    <row s="1857" customFormat="1" customHeight="1" ht="14.25">
      <c r="A157" s="1370"/>
      <c r="B157" s="1370"/>
      <c r="C157" s="1370"/>
      <c r="D157" s="1370"/>
      <c r="E157" s="2266"/>
      <c r="F157" s="2266" t="s">
        <v>147</v>
      </c>
      <c r="G157" s="2266"/>
      <c r="H157" s="2266"/>
      <c r="I157" s="2293"/>
      <c r="J157" s="2293"/>
      <c r="K157" s="2263"/>
      <c r="L157" s="1376"/>
      <c r="M157" s="1783"/>
      <c r="N157" s="1783"/>
      <c r="O157" s="1783"/>
      <c r="P157" s="2381"/>
      <c r="Q157" s="2381"/>
      <c r="R157" s="364"/>
      <c r="S157" s="2520"/>
      <c r="T157" s="307"/>
      <c r="U157" s="307"/>
      <c r="V157" s="332"/>
      <c r="W157" s="332"/>
      <c r="X157" s="335" t="str">
        <f>Y156&amp;"-"&amp;AA156</f>
        <v>-</v>
      </c>
      <c r="Y157" s="2316"/>
      <c r="Z157" s="2114"/>
      <c r="AA157" s="2316"/>
      <c r="AB157" s="2114"/>
      <c r="AC157" s="332"/>
      <c r="AD157" s="332"/>
      <c r="AE157" s="335" t="str">
        <f>AF156&amp;"-"&amp;AH156</f>
        <v>44896-45291</v>
      </c>
      <c r="AF157" s="2316"/>
      <c r="AG157" s="2114"/>
      <c r="AH157" s="2295"/>
      <c r="AI157" s="2114"/>
      <c r="AJ157" s="332"/>
      <c r="AK157" s="332"/>
      <c r="AL157" s="335" t="str">
        <f>AM156&amp;"-"&amp;AO156</f>
        <v>45292-45473</v>
      </c>
      <c r="AM157" s="2316"/>
      <c r="AN157" s="2114"/>
      <c r="AO157" s="2316"/>
      <c r="AP157" s="2114"/>
      <c r="AQ157" s="332"/>
      <c r="AR157" s="332"/>
      <c r="AS157" s="335" t="str">
        <f>AT156&amp;"-"&amp;AV156</f>
        <v>45474-45657</v>
      </c>
      <c r="AT157" s="2316"/>
      <c r="AU157" s="2114"/>
      <c r="AV157" s="2316"/>
      <c r="AW157" s="2114"/>
      <c r="AX157" s="332"/>
      <c r="AY157" s="332"/>
      <c r="AZ157" s="335" t="str">
        <f>BA156&amp;"-"&amp;BC156</f>
        <v>45658-45838</v>
      </c>
      <c r="BA157" s="2316"/>
      <c r="BB157" s="2114"/>
      <c r="BC157" s="2316"/>
      <c r="BD157" s="2114"/>
      <c r="BE157" s="332"/>
      <c r="BF157" s="332"/>
      <c r="BG157" s="335" t="str">
        <f>BH156&amp;"-"&amp;BJ156</f>
        <v>45839-46022</v>
      </c>
      <c r="BH157" s="2316"/>
      <c r="BI157" s="2114"/>
      <c r="BJ157" s="2316"/>
      <c r="BK157" s="2114"/>
      <c r="BL157" s="332"/>
      <c r="BM157" s="332"/>
      <c r="BN157" s="335" t="str">
        <f>BO156&amp;"-"&amp;BQ156</f>
        <v>46023-46203</v>
      </c>
      <c r="BO157" s="2316"/>
      <c r="BP157" s="2114"/>
      <c r="BQ157" s="2316"/>
      <c r="BR157" s="2114"/>
      <c r="BS157" s="332"/>
      <c r="BT157" s="332"/>
      <c r="BU157" s="335" t="str">
        <f>BV156&amp;"-"&amp;BX156</f>
        <v>46204-46387</v>
      </c>
      <c r="BV157" s="2316"/>
      <c r="BW157" s="2114"/>
      <c r="BX157" s="2316"/>
      <c r="BY157" s="2114"/>
      <c r="BZ157" s="332"/>
      <c r="CA157" s="332"/>
      <c r="CB157" s="335" t="str">
        <f>CC156&amp;"-"&amp;CE156</f>
        <v>46388-46568</v>
      </c>
      <c r="CC157" s="2316"/>
      <c r="CD157" s="2114"/>
      <c r="CE157" s="2316"/>
      <c r="CF157" s="2114"/>
      <c r="CG157" s="332"/>
      <c r="CH157" s="332"/>
      <c r="CI157" s="335" t="str">
        <f>CJ156&amp;"-"&amp;CL156</f>
        <v>46569-46752</v>
      </c>
      <c r="CJ157" s="2316"/>
      <c r="CK157" s="2114"/>
      <c r="CL157" s="2316"/>
      <c r="CM157" s="2114"/>
      <c r="CN157" s="1446"/>
      <c r="CO157" s="2356"/>
      <c r="CP157" s="1649"/>
      <c r="CQ157" s="1631"/>
      <c r="CR157" s="1631" t="str">
        <f>IF(T157="","",T157)</f>
        <v/>
      </c>
      <c r="CS157" s="1631"/>
      <c r="CT157" s="1631"/>
      <c r="CU157" s="1642">
        <v>0</v>
      </c>
    </row>
    <row s="1857" customFormat="1" customHeight="1" ht="21">
      <c r="A158" s="1370"/>
      <c r="B158" s="1370"/>
      <c r="C158" s="1370"/>
      <c r="D158" s="1370"/>
      <c r="E158" s="2266"/>
      <c r="F158" s="2266" t="s">
        <v>147</v>
      </c>
      <c r="G158" s="2266"/>
      <c r="H158" s="2266"/>
      <c r="I158" s="2293"/>
      <c r="J158" s="2263"/>
      <c r="K158" s="1370"/>
      <c r="L158" s="1376"/>
      <c r="M158" s="1783"/>
      <c r="N158" s="1783"/>
      <c r="O158" s="1783"/>
      <c r="P158" s="2381"/>
      <c r="Q158" s="2381"/>
      <c r="R158" s="363"/>
      <c r="S158" s="3563"/>
      <c r="T158" s="3564" t="s">
        <v>646</v>
      </c>
      <c r="U158" s="3565"/>
      <c r="V158" s="3566"/>
      <c r="W158" s="3567"/>
      <c r="X158" s="3568"/>
      <c r="Y158" s="3569"/>
      <c r="Z158" s="3570"/>
      <c r="AA158" s="3571"/>
      <c r="AB158" s="3572"/>
      <c r="AC158" s="3573"/>
      <c r="AD158" s="3574"/>
      <c r="AE158" s="3575"/>
      <c r="AF158" s="3576"/>
      <c r="AG158" s="3577"/>
      <c r="AH158" s="3578"/>
      <c r="AI158" s="3579"/>
      <c r="AJ158" s="11010"/>
      <c r="AK158" s="11011"/>
      <c r="AL158" s="11012"/>
      <c r="AM158" s="11013"/>
      <c r="AN158" s="11014"/>
      <c r="AO158" s="11015"/>
      <c r="AP158" s="11016"/>
      <c r="AQ158" s="11017"/>
      <c r="AR158" s="11018"/>
      <c r="AS158" s="11019"/>
      <c r="AT158" s="11020"/>
      <c r="AU158" s="11021"/>
      <c r="AV158" s="11022"/>
      <c r="AW158" s="11023"/>
      <c r="AX158" s="11024"/>
      <c r="AY158" s="11025"/>
      <c r="AZ158" s="11026"/>
      <c r="BA158" s="11027"/>
      <c r="BB158" s="11028"/>
      <c r="BC158" s="11029"/>
      <c r="BD158" s="11030"/>
      <c r="BE158" s="11031"/>
      <c r="BF158" s="11032"/>
      <c r="BG158" s="11033"/>
      <c r="BH158" s="11034"/>
      <c r="BI158" s="11035"/>
      <c r="BJ158" s="11036"/>
      <c r="BK158" s="11037"/>
      <c r="BL158" s="11038"/>
      <c r="BM158" s="11039"/>
      <c r="BN158" s="11040"/>
      <c r="BO158" s="11041"/>
      <c r="BP158" s="11042"/>
      <c r="BQ158" s="11043"/>
      <c r="BR158" s="11044"/>
      <c r="BS158" s="11045"/>
      <c r="BT158" s="11046"/>
      <c r="BU158" s="11047"/>
      <c r="BV158" s="11048"/>
      <c r="BW158" s="11049"/>
      <c r="BX158" s="11050"/>
      <c r="BY158" s="11051"/>
      <c r="BZ158" s="11052"/>
      <c r="CA158" s="11053"/>
      <c r="CB158" s="11054"/>
      <c r="CC158" s="11055"/>
      <c r="CD158" s="11056"/>
      <c r="CE158" s="11057"/>
      <c r="CF158" s="11058"/>
      <c r="CG158" s="11059"/>
      <c r="CH158" s="11060"/>
      <c r="CI158" s="11061"/>
      <c r="CJ158" s="11062"/>
      <c r="CK158" s="11063"/>
      <c r="CL158" s="11064"/>
      <c r="CM158" s="12727"/>
      <c r="CN158" s="3587"/>
      <c r="CO158" s="1265" t="s">
        <v>647</v>
      </c>
      <c r="CP158" s="1649"/>
      <c r="CQ158" s="1631"/>
      <c r="CR158" s="1631" t="str">
        <f>IF(T158="","",T158)</f>
        <v>Добавить значение признака дифференциации</v>
      </c>
      <c r="CS158" s="1631"/>
      <c r="CT158" s="1631"/>
      <c r="CU158" s="1642">
        <v>0</v>
      </c>
    </row>
    <row s="1857" customFormat="1" customHeight="1" ht="21">
      <c r="A159" s="1370"/>
      <c r="B159" s="1370"/>
      <c r="C159" s="1370"/>
      <c r="D159" s="1370"/>
      <c r="E159" s="2266"/>
      <c r="F159" s="2266" t="s">
        <v>147</v>
      </c>
      <c r="G159" s="2266"/>
      <c r="H159" s="2266"/>
      <c r="I159" s="2263"/>
      <c r="J159" s="1370"/>
      <c r="K159" s="1370"/>
      <c r="L159" s="1376"/>
      <c r="M159" s="1783"/>
      <c r="N159" s="1783"/>
      <c r="O159" s="1783"/>
      <c r="P159" s="2381"/>
      <c r="Q159" s="2381"/>
      <c r="R159" s="363"/>
      <c r="S159" s="3588"/>
      <c r="T159" s="3589" t="s">
        <v>575</v>
      </c>
      <c r="U159" s="3590"/>
      <c r="V159" s="3591"/>
      <c r="W159" s="3592"/>
      <c r="X159" s="3593"/>
      <c r="Y159" s="3594"/>
      <c r="Z159" s="3595"/>
      <c r="AA159" s="3596"/>
      <c r="AB159" s="3597"/>
      <c r="AC159" s="3598"/>
      <c r="AD159" s="3599"/>
      <c r="AE159" s="3600"/>
      <c r="AF159" s="3601"/>
      <c r="AG159" s="3602"/>
      <c r="AH159" s="3603"/>
      <c r="AI159" s="3604"/>
      <c r="AJ159" s="11066"/>
      <c r="AK159" s="11067"/>
      <c r="AL159" s="11068"/>
      <c r="AM159" s="11069"/>
      <c r="AN159" s="11070"/>
      <c r="AO159" s="11071"/>
      <c r="AP159" s="11072"/>
      <c r="AQ159" s="11073"/>
      <c r="AR159" s="11074"/>
      <c r="AS159" s="11075"/>
      <c r="AT159" s="11076"/>
      <c r="AU159" s="11077"/>
      <c r="AV159" s="11078"/>
      <c r="AW159" s="11079"/>
      <c r="AX159" s="11080"/>
      <c r="AY159" s="11081"/>
      <c r="AZ159" s="11082"/>
      <c r="BA159" s="11083"/>
      <c r="BB159" s="11084"/>
      <c r="BC159" s="11085"/>
      <c r="BD159" s="11086"/>
      <c r="BE159" s="11087"/>
      <c r="BF159" s="11088"/>
      <c r="BG159" s="11089"/>
      <c r="BH159" s="11090"/>
      <c r="BI159" s="11091"/>
      <c r="BJ159" s="11092"/>
      <c r="BK159" s="11093"/>
      <c r="BL159" s="11094"/>
      <c r="BM159" s="11095"/>
      <c r="BN159" s="11096"/>
      <c r="BO159" s="11097"/>
      <c r="BP159" s="11098"/>
      <c r="BQ159" s="11099"/>
      <c r="BR159" s="11100"/>
      <c r="BS159" s="11101"/>
      <c r="BT159" s="11102"/>
      <c r="BU159" s="11103"/>
      <c r="BV159" s="11104"/>
      <c r="BW159" s="11105"/>
      <c r="BX159" s="11106"/>
      <c r="BY159" s="11107"/>
      <c r="BZ159" s="11108"/>
      <c r="CA159" s="11109"/>
      <c r="CB159" s="11110"/>
      <c r="CC159" s="11111"/>
      <c r="CD159" s="11112"/>
      <c r="CE159" s="11113"/>
      <c r="CF159" s="11114"/>
      <c r="CG159" s="11115"/>
      <c r="CH159" s="11116"/>
      <c r="CI159" s="11117"/>
      <c r="CJ159" s="11118"/>
      <c r="CK159" s="11119"/>
      <c r="CL159" s="11120"/>
      <c r="CM159" s="12728"/>
      <c r="CN159" s="3612"/>
      <c r="CO159" s="3613"/>
      <c r="CP159" s="1649"/>
      <c r="CQ159" s="1631"/>
      <c r="CR159" s="1631" t="str">
        <f>IF(T159="","",T159)</f>
        <v>Добавить группу потребителей</v>
      </c>
      <c r="CS159" s="1631"/>
      <c r="CT159" s="1631"/>
      <c r="CU159" s="1642">
        <v>0</v>
      </c>
    </row>
    <row s="1857" customFormat="1" customHeight="1" ht="14.25">
      <c r="A160" s="1370"/>
      <c r="B160" s="1370"/>
      <c r="C160" s="1370"/>
      <c r="D160" s="1370"/>
      <c r="E160" s="2266"/>
      <c r="F160" s="2266" t="s">
        <v>147</v>
      </c>
      <c r="G160" s="2266"/>
      <c r="H160" s="2265"/>
      <c r="I160" s="1370"/>
      <c r="J160" s="1370"/>
      <c r="K160" s="1370"/>
      <c r="L160" s="1376"/>
      <c r="M160" s="1372"/>
      <c r="N160" s="1372"/>
      <c r="O160" s="1373"/>
      <c r="P160" s="1830"/>
      <c r="Q160" s="382"/>
      <c r="R160" s="362"/>
      <c r="S160" s="3614"/>
      <c r="T160" s="3615" t="s">
        <v>648</v>
      </c>
      <c r="U160" s="3616"/>
      <c r="V160" s="3617"/>
      <c r="W160" s="3618"/>
      <c r="X160" s="3619"/>
      <c r="Y160" s="3620"/>
      <c r="Z160" s="3621"/>
      <c r="AA160" s="3622"/>
      <c r="AB160" s="3623"/>
      <c r="AC160" s="3624"/>
      <c r="AD160" s="3625"/>
      <c r="AE160" s="3626"/>
      <c r="AF160" s="3627"/>
      <c r="AG160" s="3628"/>
      <c r="AH160" s="3629"/>
      <c r="AI160" s="3630"/>
      <c r="AJ160" s="11122"/>
      <c r="AK160" s="11123"/>
      <c r="AL160" s="11124"/>
      <c r="AM160" s="11125"/>
      <c r="AN160" s="11126"/>
      <c r="AO160" s="11127"/>
      <c r="AP160" s="11128"/>
      <c r="AQ160" s="11129"/>
      <c r="AR160" s="11130"/>
      <c r="AS160" s="11131"/>
      <c r="AT160" s="11132"/>
      <c r="AU160" s="11133"/>
      <c r="AV160" s="11134"/>
      <c r="AW160" s="11135"/>
      <c r="AX160" s="11136"/>
      <c r="AY160" s="11137"/>
      <c r="AZ160" s="11138"/>
      <c r="BA160" s="11139"/>
      <c r="BB160" s="11140"/>
      <c r="BC160" s="11141"/>
      <c r="BD160" s="11142"/>
      <c r="BE160" s="11143"/>
      <c r="BF160" s="11144"/>
      <c r="BG160" s="11145"/>
      <c r="BH160" s="11146"/>
      <c r="BI160" s="11147"/>
      <c r="BJ160" s="11148"/>
      <c r="BK160" s="11149"/>
      <c r="BL160" s="11150"/>
      <c r="BM160" s="11151"/>
      <c r="BN160" s="11152"/>
      <c r="BO160" s="11153"/>
      <c r="BP160" s="11154"/>
      <c r="BQ160" s="11155"/>
      <c r="BR160" s="11156"/>
      <c r="BS160" s="11157"/>
      <c r="BT160" s="11158"/>
      <c r="BU160" s="11159"/>
      <c r="BV160" s="11160"/>
      <c r="BW160" s="11161"/>
      <c r="BX160" s="11162"/>
      <c r="BY160" s="11163"/>
      <c r="BZ160" s="11164"/>
      <c r="CA160" s="11165"/>
      <c r="CB160" s="11166"/>
      <c r="CC160" s="11167"/>
      <c r="CD160" s="11168"/>
      <c r="CE160" s="11169"/>
      <c r="CF160" s="11170"/>
      <c r="CG160" s="11171"/>
      <c r="CH160" s="11172"/>
      <c r="CI160" s="11173"/>
      <c r="CJ160" s="11174"/>
      <c r="CK160" s="11175"/>
      <c r="CL160" s="11176"/>
      <c r="CM160" s="12729"/>
      <c r="CN160" s="3638"/>
      <c r="CO160" s="3639"/>
      <c r="CP160" s="1649"/>
      <c r="CQ160" s="1631"/>
      <c r="CR160" s="1631" t="str">
        <f>IF(T160="","",T160)</f>
        <v>Добавить наименование признака дифференциации</v>
      </c>
      <c r="CS160" s="1631"/>
      <c r="CT160" s="1631"/>
      <c r="CU160" s="1642">
        <v>0</v>
      </c>
    </row>
    <row s="629" customFormat="1" customHeight="1" ht="14.25">
      <c r="A161" s="1350"/>
      <c r="B161" s="1350"/>
      <c r="C161" s="1350"/>
      <c r="D161" s="1350"/>
      <c r="E161" s="2266"/>
      <c r="F161" s="2265" t="s">
        <v>147</v>
      </c>
      <c r="G161" s="1350"/>
      <c r="H161" s="1350"/>
      <c r="I161" s="1350"/>
      <c r="J161" s="1350"/>
      <c r="K161" s="1350"/>
      <c r="L161" s="1552"/>
      <c r="M161" s="1328"/>
      <c r="N161" s="1328"/>
      <c r="O161" s="1649"/>
      <c r="P161" s="1323"/>
      <c r="Q161" s="1351"/>
      <c r="R161" s="1323"/>
      <c r="S161" s="1329"/>
      <c r="T161" s="1332" t="s">
        <v>316</v>
      </c>
      <c r="U161" s="1331"/>
      <c r="V161" s="1331"/>
      <c r="W161" s="1331"/>
      <c r="X161" s="1331"/>
      <c r="Y161" s="1331"/>
      <c r="Z161" s="1331"/>
      <c r="AA161" s="1331"/>
      <c r="AB161" s="1331"/>
      <c r="AC161" s="1331"/>
      <c r="AD161" s="1331"/>
      <c r="AE161" s="1331"/>
      <c r="AF161" s="1331"/>
      <c r="AG161" s="1331"/>
      <c r="AH161" s="1331"/>
      <c r="AI161" s="1331"/>
      <c r="AJ161" s="1331"/>
      <c r="AK161" s="1331"/>
      <c r="AL161" s="1331"/>
      <c r="AM161" s="1331"/>
      <c r="AN161" s="1331"/>
      <c r="AO161" s="1331"/>
      <c r="AP161" s="1331"/>
      <c r="AQ161" s="1331"/>
      <c r="AR161" s="1331"/>
      <c r="AS161" s="1331"/>
      <c r="AT161" s="1331"/>
      <c r="AU161" s="1331"/>
      <c r="AV161" s="1331"/>
      <c r="AW161" s="1331"/>
      <c r="AX161" s="1331"/>
      <c r="AY161" s="1331"/>
      <c r="AZ161" s="1331"/>
      <c r="BA161" s="1331"/>
      <c r="BB161" s="1331"/>
      <c r="BC161" s="1331"/>
      <c r="BD161" s="1331"/>
      <c r="BE161" s="1331"/>
      <c r="BF161" s="1331"/>
      <c r="BG161" s="1331"/>
      <c r="BH161" s="1331"/>
      <c r="BI161" s="1331"/>
      <c r="BJ161" s="1331"/>
      <c r="BK161" s="1331"/>
      <c r="BL161" s="1331"/>
      <c r="BM161" s="1331"/>
      <c r="BN161" s="1331"/>
      <c r="BO161" s="1331"/>
      <c r="BP161" s="1331"/>
      <c r="BQ161" s="1331"/>
      <c r="BR161" s="1331"/>
      <c r="BS161" s="1331"/>
      <c r="BT161" s="1331"/>
      <c r="BU161" s="1331"/>
      <c r="BV161" s="1331"/>
      <c r="BW161" s="1331"/>
      <c r="BX161" s="1331"/>
      <c r="BY161" s="1331"/>
      <c r="BZ161" s="1331"/>
      <c r="CA161" s="1331"/>
      <c r="CB161" s="1331"/>
      <c r="CC161" s="1331"/>
      <c r="CD161" s="1331"/>
      <c r="CE161" s="1331"/>
      <c r="CF161" s="1331"/>
      <c r="CG161" s="1331"/>
      <c r="CH161" s="1331"/>
      <c r="CI161" s="1331"/>
      <c r="CJ161" s="1331"/>
      <c r="CK161" s="1331"/>
      <c r="CL161" s="1331"/>
      <c r="CM161" s="1331"/>
      <c r="CN161" s="1331"/>
      <c r="CO161" s="1331"/>
      <c r="CP161" s="1649"/>
      <c r="CQ161" s="1631"/>
      <c r="CR161" s="1631" t="str">
        <f>IF(T161="","",T161)</f>
        <v>Добавить централизованную систему для дифференциации</v>
      </c>
      <c r="CS161" s="1631"/>
      <c r="CT161" s="1631"/>
      <c r="CU161" s="1649">
        <v>0</v>
      </c>
    </row>
    <row s="1857" customFormat="1" customHeight="1" ht="23.25">
      <c r="A162" s="1370"/>
      <c r="B162" s="1370" t="s">
        <v>356</v>
      </c>
      <c r="C162" s="1370"/>
      <c r="D162" s="1370"/>
      <c r="E162" s="2266"/>
      <c r="F162" s="2265" t="s">
        <v>157</v>
      </c>
      <c r="G162" s="1370"/>
      <c r="H162" s="1370"/>
      <c r="I162" s="1370"/>
      <c r="J162" s="1370"/>
      <c r="K162" s="1370"/>
      <c r="L162" s="1376"/>
      <c r="M162" s="1372"/>
      <c r="N162" s="1372"/>
      <c r="O162" s="1372"/>
      <c r="P162" s="2132"/>
      <c r="Q162" s="359"/>
      <c r="R162" s="360"/>
      <c r="S162" s="2280" t="str">
        <f>INDEX(PT_DIFFERENTIATION_NUM_TER,MATCH(B162,PT_DIFFERENTIATION_TER_ID,0))</f>
        <v>1.13</v>
      </c>
      <c r="T162" s="1529" t="s">
        <v>560</v>
      </c>
      <c r="U162" s="307"/>
      <c r="V162" s="2249"/>
      <c r="W162" s="2250"/>
      <c r="X162" s="2250"/>
      <c r="Y162" s="2250"/>
      <c r="Z162" s="2250"/>
      <c r="AA162" s="2250"/>
      <c r="AB162" s="2251"/>
      <c r="AC162" s="2249" t="str">
        <f>INDEX(PT_DIFFERENTIATION_TER,MATCH(B162,PT_DIFFERENTIATION_TER_ID,0))</f>
        <v>Территория 13</v>
      </c>
      <c r="AD162" s="2250"/>
      <c r="AE162" s="2250"/>
      <c r="AF162" s="2250"/>
      <c r="AG162" s="2250"/>
      <c r="AH162" s="2250"/>
      <c r="AI162" s="2250"/>
      <c r="AJ162" s="2249"/>
      <c r="AK162" s="2250"/>
      <c r="AL162" s="2250"/>
      <c r="AM162" s="2250"/>
      <c r="AN162" s="2250"/>
      <c r="AO162" s="2250"/>
      <c r="AP162" s="2251"/>
      <c r="AQ162" s="2249"/>
      <c r="AR162" s="2250"/>
      <c r="AS162" s="2250"/>
      <c r="AT162" s="2250"/>
      <c r="AU162" s="2250"/>
      <c r="AV162" s="2250"/>
      <c r="AW162" s="2251"/>
      <c r="AX162" s="2249"/>
      <c r="AY162" s="2250"/>
      <c r="AZ162" s="2250"/>
      <c r="BA162" s="2250"/>
      <c r="BB162" s="2250"/>
      <c r="BC162" s="2250"/>
      <c r="BD162" s="2251"/>
      <c r="BE162" s="2249"/>
      <c r="BF162" s="2250"/>
      <c r="BG162" s="2250"/>
      <c r="BH162" s="2250"/>
      <c r="BI162" s="2250"/>
      <c r="BJ162" s="2250"/>
      <c r="BK162" s="2251"/>
      <c r="BL162" s="2249"/>
      <c r="BM162" s="2250"/>
      <c r="BN162" s="2250"/>
      <c r="BO162" s="2250"/>
      <c r="BP162" s="2250"/>
      <c r="BQ162" s="2250"/>
      <c r="BR162" s="2251"/>
      <c r="BS162" s="2249"/>
      <c r="BT162" s="2250"/>
      <c r="BU162" s="2250"/>
      <c r="BV162" s="2250"/>
      <c r="BW162" s="2250"/>
      <c r="BX162" s="2250"/>
      <c r="BY162" s="2251"/>
      <c r="BZ162" s="2249"/>
      <c r="CA162" s="2250"/>
      <c r="CB162" s="2250"/>
      <c r="CC162" s="2250"/>
      <c r="CD162" s="2250"/>
      <c r="CE162" s="2250"/>
      <c r="CF162" s="2251"/>
      <c r="CG162" s="2249"/>
      <c r="CH162" s="2250"/>
      <c r="CI162" s="2250"/>
      <c r="CJ162" s="2250"/>
      <c r="CK162" s="2250"/>
      <c r="CL162" s="2250"/>
      <c r="CM162" s="4492"/>
      <c r="CN162" s="2251"/>
      <c r="CO162" s="1265" t="s">
        <v>561</v>
      </c>
      <c r="CP162" s="1649"/>
      <c r="CQ162" s="1631"/>
      <c r="CR162" s="1631" t="str">
        <f>IF(T162="","",T162)</f>
        <v>Территория действия тарифа</v>
      </c>
      <c r="CS162" s="1631"/>
      <c r="CT162" s="1631"/>
      <c r="CU162" s="1642">
        <v>0</v>
      </c>
    </row>
    <row s="1857" customFormat="1" customHeight="1" ht="23.25">
      <c r="A163" s="1370"/>
      <c r="B163" s="1370"/>
      <c r="C163" s="1370" t="s">
        <v>357</v>
      </c>
      <c r="D163" s="1370"/>
      <c r="E163" s="2266"/>
      <c r="F163" s="2266" t="s">
        <v>152</v>
      </c>
      <c r="G163" s="2265">
        <v>1</v>
      </c>
      <c r="H163" s="1370"/>
      <c r="I163" s="1370"/>
      <c r="J163" s="1370"/>
      <c r="K163" s="1370"/>
      <c r="L163" s="1376"/>
      <c r="M163" s="1372"/>
      <c r="N163" s="1372"/>
      <c r="O163" s="1372"/>
      <c r="P163" s="361"/>
      <c r="Q163" s="359"/>
      <c r="R163" s="360"/>
      <c r="S163" s="2280" t="str">
        <f>INDEX(PT_DIFFERENTIATION_NUM_CS,MATCH(C163,PT_DIFFERENTIATION_CS_ID,0))</f>
        <v>1.13.1</v>
      </c>
      <c r="T163" s="316" t="s">
        <v>641</v>
      </c>
      <c r="U163" s="307"/>
      <c r="V163" s="2249"/>
      <c r="W163" s="2250"/>
      <c r="X163" s="2250"/>
      <c r="Y163" s="2250"/>
      <c r="Z163" s="2250"/>
      <c r="AA163" s="2250"/>
      <c r="AB163" s="2251"/>
      <c r="AC163" s="2249" t="str">
        <f>INDEX(PT_DIFFERENTIATION_CS,MATCH(C163,PT_DIFFERENTIATION_CS_ID,0))</f>
        <v>Новооскольский район</v>
      </c>
      <c r="AD163" s="2250"/>
      <c r="AE163" s="2250"/>
      <c r="AF163" s="2250"/>
      <c r="AG163" s="2250"/>
      <c r="AH163" s="2250"/>
      <c r="AI163" s="2250"/>
      <c r="AJ163" s="2249"/>
      <c r="AK163" s="2250"/>
      <c r="AL163" s="2250"/>
      <c r="AM163" s="2250"/>
      <c r="AN163" s="2250"/>
      <c r="AO163" s="2250"/>
      <c r="AP163" s="2251"/>
      <c r="AQ163" s="2249"/>
      <c r="AR163" s="2250"/>
      <c r="AS163" s="2250"/>
      <c r="AT163" s="2250"/>
      <c r="AU163" s="2250"/>
      <c r="AV163" s="2250"/>
      <c r="AW163" s="2251"/>
      <c r="AX163" s="2249"/>
      <c r="AY163" s="2250"/>
      <c r="AZ163" s="2250"/>
      <c r="BA163" s="2250"/>
      <c r="BB163" s="2250"/>
      <c r="BC163" s="2250"/>
      <c r="BD163" s="2251"/>
      <c r="BE163" s="2249"/>
      <c r="BF163" s="2250"/>
      <c r="BG163" s="2250"/>
      <c r="BH163" s="2250"/>
      <c r="BI163" s="2250"/>
      <c r="BJ163" s="2250"/>
      <c r="BK163" s="2251"/>
      <c r="BL163" s="2249"/>
      <c r="BM163" s="2250"/>
      <c r="BN163" s="2250"/>
      <c r="BO163" s="2250"/>
      <c r="BP163" s="2250"/>
      <c r="BQ163" s="2250"/>
      <c r="BR163" s="2251"/>
      <c r="BS163" s="2249"/>
      <c r="BT163" s="2250"/>
      <c r="BU163" s="2250"/>
      <c r="BV163" s="2250"/>
      <c r="BW163" s="2250"/>
      <c r="BX163" s="2250"/>
      <c r="BY163" s="2251"/>
      <c r="BZ163" s="2249"/>
      <c r="CA163" s="2250"/>
      <c r="CB163" s="2250"/>
      <c r="CC163" s="2250"/>
      <c r="CD163" s="2250"/>
      <c r="CE163" s="2250"/>
      <c r="CF163" s="2251"/>
      <c r="CG163" s="2249"/>
      <c r="CH163" s="2250"/>
      <c r="CI163" s="2250"/>
      <c r="CJ163" s="2250"/>
      <c r="CK163" s="2250"/>
      <c r="CL163" s="2250"/>
      <c r="CM163" s="4492"/>
      <c r="CN163" s="2251"/>
      <c r="CO163" s="1265" t="s">
        <v>642</v>
      </c>
      <c r="CP163" s="1649"/>
      <c r="CQ163" s="1631"/>
      <c r="CR163" s="1631" t="str">
        <f>IF(T163="","",T163)</f>
        <v>Наименование централизованной системы холодного водоснабжения</v>
      </c>
      <c r="CS163" s="1631"/>
      <c r="CT163" s="1631"/>
      <c r="CU163" s="1642">
        <v>0</v>
      </c>
    </row>
    <row s="1857" customFormat="1" customHeight="1" ht="23.25">
      <c r="A164" s="1370"/>
      <c r="B164" s="1370"/>
      <c r="C164" s="1370"/>
      <c r="D164" s="1370"/>
      <c r="E164" s="2266"/>
      <c r="F164" s="2266" t="s">
        <v>152</v>
      </c>
      <c r="G164" s="2266"/>
      <c r="H164" s="2266"/>
      <c r="I164" s="2263" t="str">
        <f>S163&amp;".1"</f>
        <v>1.13.1.1</v>
      </c>
      <c r="J164" s="1370"/>
      <c r="K164" s="1370"/>
      <c r="L164" s="1376"/>
      <c r="M164" s="1783"/>
      <c r="N164" s="1783"/>
      <c r="O164" s="1783"/>
      <c r="P164" s="2381">
        <v>1</v>
      </c>
      <c r="Q164" s="2381"/>
      <c r="R164" s="363"/>
      <c r="S164" s="2280" t="str">
        <f>$I164</f>
        <v>1.13.1.1</v>
      </c>
      <c r="T164" s="292" t="s">
        <v>643</v>
      </c>
      <c r="U164" s="307"/>
      <c r="V164" s="2357"/>
      <c r="W164" s="2358"/>
      <c r="X164" s="2358"/>
      <c r="Y164" s="2358"/>
      <c r="Z164" s="2358"/>
      <c r="AA164" s="2358"/>
      <c r="AB164" s="2359"/>
      <c r="AC164" s="2360" t="s">
        <v>355</v>
      </c>
      <c r="AD164" s="2361"/>
      <c r="AE164" s="2361"/>
      <c r="AF164" s="2361"/>
      <c r="AG164" s="2361"/>
      <c r="AH164" s="2361"/>
      <c r="AI164" s="2361"/>
      <c r="AJ164" s="2357"/>
      <c r="AK164" s="2358"/>
      <c r="AL164" s="2358"/>
      <c r="AM164" s="2358"/>
      <c r="AN164" s="2358"/>
      <c r="AO164" s="2358"/>
      <c r="AP164" s="2359"/>
      <c r="AQ164" s="2357"/>
      <c r="AR164" s="2358"/>
      <c r="AS164" s="2358"/>
      <c r="AT164" s="2358"/>
      <c r="AU164" s="2358"/>
      <c r="AV164" s="2358"/>
      <c r="AW164" s="2359"/>
      <c r="AX164" s="2357"/>
      <c r="AY164" s="2358"/>
      <c r="AZ164" s="2358"/>
      <c r="BA164" s="2358"/>
      <c r="BB164" s="2358"/>
      <c r="BC164" s="2358"/>
      <c r="BD164" s="2359"/>
      <c r="BE164" s="2357"/>
      <c r="BF164" s="2358"/>
      <c r="BG164" s="2358"/>
      <c r="BH164" s="2358"/>
      <c r="BI164" s="2358"/>
      <c r="BJ164" s="2358"/>
      <c r="BK164" s="2359"/>
      <c r="BL164" s="2357"/>
      <c r="BM164" s="2358"/>
      <c r="BN164" s="2358"/>
      <c r="BO164" s="2358"/>
      <c r="BP164" s="2358"/>
      <c r="BQ164" s="2358"/>
      <c r="BR164" s="2359"/>
      <c r="BS164" s="2357"/>
      <c r="BT164" s="2358"/>
      <c r="BU164" s="2358"/>
      <c r="BV164" s="2358"/>
      <c r="BW164" s="2358"/>
      <c r="BX164" s="2358"/>
      <c r="BY164" s="2359"/>
      <c r="BZ164" s="2357"/>
      <c r="CA164" s="2358"/>
      <c r="CB164" s="2358"/>
      <c r="CC164" s="2358"/>
      <c r="CD164" s="2358"/>
      <c r="CE164" s="2358"/>
      <c r="CF164" s="2359"/>
      <c r="CG164" s="2357"/>
      <c r="CH164" s="2358"/>
      <c r="CI164" s="2358"/>
      <c r="CJ164" s="2358"/>
      <c r="CK164" s="2358"/>
      <c r="CL164" s="2358"/>
      <c r="CM164" s="4495"/>
      <c r="CN164" s="2362"/>
      <c r="CO164" s="1265" t="s">
        <v>644</v>
      </c>
      <c r="CP164" s="1649"/>
      <c r="CQ164" s="1631"/>
      <c r="CR164" s="1631" t="str">
        <f>IF(T164="","",T164)</f>
        <v>Наименование признака дифференциации</v>
      </c>
      <c r="CS164" s="1631"/>
      <c r="CT164" s="1631"/>
      <c r="CU164" s="1642">
        <v>0</v>
      </c>
    </row>
    <row s="1857" customFormat="1" customHeight="1" ht="23.25">
      <c r="A165" s="1370"/>
      <c r="B165" s="1370"/>
      <c r="C165" s="1370"/>
      <c r="D165" s="1370"/>
      <c r="E165" s="2266"/>
      <c r="F165" s="2266" t="s">
        <v>152</v>
      </c>
      <c r="G165" s="2266"/>
      <c r="H165" s="2266"/>
      <c r="I165" s="2293"/>
      <c r="J165" s="2263" t="str">
        <f>I164&amp;".1"</f>
        <v>1.13.1.1.1</v>
      </c>
      <c r="K165" s="1370"/>
      <c r="L165" s="1376" t="s">
        <v>569</v>
      </c>
      <c r="M165" s="1783"/>
      <c r="N165" s="1783"/>
      <c r="O165" s="1783"/>
      <c r="P165" s="2381"/>
      <c r="Q165" s="2381">
        <v>1</v>
      </c>
      <c r="R165" s="364"/>
      <c r="S165" s="2280" t="str">
        <f>$J165</f>
        <v>1.13.1.1.1</v>
      </c>
      <c r="T165" s="293" t="s">
        <v>570</v>
      </c>
      <c r="U165" s="307"/>
      <c r="V165" s="2252"/>
      <c r="W165" s="2253"/>
      <c r="X165" s="2253"/>
      <c r="Y165" s="2253"/>
      <c r="Z165" s="2253"/>
      <c r="AA165" s="2253"/>
      <c r="AB165" s="2254"/>
      <c r="AC165" s="2252" t="s">
        <v>656</v>
      </c>
      <c r="AD165" s="2253"/>
      <c r="AE165" s="2253"/>
      <c r="AF165" s="2253"/>
      <c r="AG165" s="2253"/>
      <c r="AH165" s="2253"/>
      <c r="AI165" s="2253"/>
      <c r="AJ165" s="2252"/>
      <c r="AK165" s="2253"/>
      <c r="AL165" s="2253"/>
      <c r="AM165" s="2253"/>
      <c r="AN165" s="2253"/>
      <c r="AO165" s="2253"/>
      <c r="AP165" s="2254"/>
      <c r="AQ165" s="2252"/>
      <c r="AR165" s="2253"/>
      <c r="AS165" s="2253"/>
      <c r="AT165" s="2253"/>
      <c r="AU165" s="2253"/>
      <c r="AV165" s="2253"/>
      <c r="AW165" s="2254"/>
      <c r="AX165" s="2252"/>
      <c r="AY165" s="2253"/>
      <c r="AZ165" s="2253"/>
      <c r="BA165" s="2253"/>
      <c r="BB165" s="2253"/>
      <c r="BC165" s="2253"/>
      <c r="BD165" s="2254"/>
      <c r="BE165" s="2252"/>
      <c r="BF165" s="2253"/>
      <c r="BG165" s="2253"/>
      <c r="BH165" s="2253"/>
      <c r="BI165" s="2253"/>
      <c r="BJ165" s="2253"/>
      <c r="BK165" s="2254"/>
      <c r="BL165" s="2252"/>
      <c r="BM165" s="2253"/>
      <c r="BN165" s="2253"/>
      <c r="BO165" s="2253"/>
      <c r="BP165" s="2253"/>
      <c r="BQ165" s="2253"/>
      <c r="BR165" s="2254"/>
      <c r="BS165" s="2252"/>
      <c r="BT165" s="2253"/>
      <c r="BU165" s="2253"/>
      <c r="BV165" s="2253"/>
      <c r="BW165" s="2253"/>
      <c r="BX165" s="2253"/>
      <c r="BY165" s="2254"/>
      <c r="BZ165" s="2252"/>
      <c r="CA165" s="2253"/>
      <c r="CB165" s="2253"/>
      <c r="CC165" s="2253"/>
      <c r="CD165" s="2253"/>
      <c r="CE165" s="2253"/>
      <c r="CF165" s="2254"/>
      <c r="CG165" s="2252"/>
      <c r="CH165" s="2253"/>
      <c r="CI165" s="2253"/>
      <c r="CJ165" s="2253"/>
      <c r="CK165" s="2253"/>
      <c r="CL165" s="2253"/>
      <c r="CM165" s="4498"/>
      <c r="CN165" s="2254"/>
      <c r="CO165" s="1314" t="s">
        <v>645</v>
      </c>
      <c r="CP165" s="1649"/>
      <c r="CQ165" s="1631"/>
      <c r="CR165" s="1631" t="str">
        <f>IF(T165="","",T165)</f>
        <v>Группа потребителей</v>
      </c>
      <c r="CS165" s="1631"/>
      <c r="CT165" s="1631"/>
      <c r="CU165" s="1642">
        <v>0</v>
      </c>
    </row>
    <row s="1857" customFormat="1" customHeight="1" ht="23.25">
      <c r="A166" s="1370"/>
      <c r="B166" s="1370"/>
      <c r="C166" s="1370"/>
      <c r="D166" s="1370"/>
      <c r="E166" s="2266"/>
      <c r="F166" s="2266" t="s">
        <v>152</v>
      </c>
      <c r="G166" s="2266"/>
      <c r="H166" s="2266"/>
      <c r="I166" s="2293"/>
      <c r="J166" s="2293"/>
      <c r="K166" s="2263" t="str">
        <f>J165&amp;".1"</f>
        <v>1.13.1.1.1.1</v>
      </c>
      <c r="L166" s="1376"/>
      <c r="M166" s="1783"/>
      <c r="N166" s="1783"/>
      <c r="O166" s="1783"/>
      <c r="P166" s="2381"/>
      <c r="Q166" s="2381"/>
      <c r="R166" s="364">
        <v>1</v>
      </c>
      <c r="S166" s="2280" t="str">
        <f>$K166</f>
        <v>1.13.1.1.1.1</v>
      </c>
      <c r="T166" s="1444" t="s">
        <v>657</v>
      </c>
      <c r="U166" s="307"/>
      <c r="V166" s="758"/>
      <c r="W166" s="758"/>
      <c r="X166" s="1264"/>
      <c r="Y166" s="2609"/>
      <c r="Z166" s="2114" t="s">
        <v>66</v>
      </c>
      <c r="AA166" s="2609"/>
      <c r="AB166" s="2114" t="s">
        <v>66</v>
      </c>
      <c r="AC166" s="758">
        <v>32.35</v>
      </c>
      <c r="AD166" s="758"/>
      <c r="AE166" s="1264"/>
      <c r="AF166" s="2609">
        <v>44896</v>
      </c>
      <c r="AG166" s="2114" t="s">
        <v>66</v>
      </c>
      <c r="AH166" s="2294">
        <v>45291</v>
      </c>
      <c r="AI166" s="2114" t="s">
        <v>66</v>
      </c>
      <c r="AJ166" s="758">
        <v>32.35</v>
      </c>
      <c r="AK166" s="758"/>
      <c r="AL166" s="1264"/>
      <c r="AM166" s="2609">
        <v>45292</v>
      </c>
      <c r="AN166" s="2114" t="s">
        <v>66</v>
      </c>
      <c r="AO166" s="2609">
        <v>45473</v>
      </c>
      <c r="AP166" s="2114" t="s">
        <v>66</v>
      </c>
      <c r="AQ166" s="758">
        <v>36.88</v>
      </c>
      <c r="AR166" s="758"/>
      <c r="AS166" s="1264"/>
      <c r="AT166" s="2609">
        <v>45474</v>
      </c>
      <c r="AU166" s="2114" t="s">
        <v>66</v>
      </c>
      <c r="AV166" s="2609">
        <v>45657</v>
      </c>
      <c r="AW166" s="2114" t="s">
        <v>66</v>
      </c>
      <c r="AX166" s="758">
        <v>36.88</v>
      </c>
      <c r="AY166" s="758"/>
      <c r="AZ166" s="1264"/>
      <c r="BA166" s="2609">
        <v>45658</v>
      </c>
      <c r="BB166" s="2114" t="s">
        <v>66</v>
      </c>
      <c r="BC166" s="2609">
        <v>45838</v>
      </c>
      <c r="BD166" s="2114" t="s">
        <v>66</v>
      </c>
      <c r="BE166" s="758">
        <v>82.76</v>
      </c>
      <c r="BF166" s="758"/>
      <c r="BG166" s="1264"/>
      <c r="BH166" s="2609">
        <v>45839</v>
      </c>
      <c r="BI166" s="2114" t="s">
        <v>66</v>
      </c>
      <c r="BJ166" s="2609">
        <v>46022</v>
      </c>
      <c r="BK166" s="2114" t="s">
        <v>66</v>
      </c>
      <c r="BL166" s="758">
        <v>34.79</v>
      </c>
      <c r="BM166" s="758"/>
      <c r="BN166" s="1264"/>
      <c r="BO166" s="2609">
        <v>46023</v>
      </c>
      <c r="BP166" s="2114" t="s">
        <v>66</v>
      </c>
      <c r="BQ166" s="2609">
        <v>46203</v>
      </c>
      <c r="BR166" s="2114" t="s">
        <v>66</v>
      </c>
      <c r="BS166" s="758">
        <v>37.3</v>
      </c>
      <c r="BT166" s="758"/>
      <c r="BU166" s="1264"/>
      <c r="BV166" s="2609">
        <v>46204</v>
      </c>
      <c r="BW166" s="2114" t="s">
        <v>66</v>
      </c>
      <c r="BX166" s="2609">
        <v>46387</v>
      </c>
      <c r="BY166" s="2114" t="s">
        <v>66</v>
      </c>
      <c r="BZ166" s="758">
        <v>37.3</v>
      </c>
      <c r="CA166" s="758"/>
      <c r="CB166" s="1264"/>
      <c r="CC166" s="2609">
        <v>46388</v>
      </c>
      <c r="CD166" s="2114" t="s">
        <v>66</v>
      </c>
      <c r="CE166" s="2609">
        <v>46568</v>
      </c>
      <c r="CF166" s="2114" t="s">
        <v>66</v>
      </c>
      <c r="CG166" s="758">
        <v>37.41</v>
      </c>
      <c r="CH166" s="758"/>
      <c r="CI166" s="1264"/>
      <c r="CJ166" s="2609">
        <v>46569</v>
      </c>
      <c r="CK166" s="2114" t="s">
        <v>66</v>
      </c>
      <c r="CL166" s="2609">
        <v>46752</v>
      </c>
      <c r="CM166" s="2114" t="s">
        <v>66</v>
      </c>
      <c r="CN166" s="1445"/>
      <c r="CO16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66" s="1649">
        <f>STRCHECKDATE(V167:CN167)</f>
      </c>
      <c r="CQ166" s="1631"/>
      <c r="CR166" s="1631" t="str">
        <f>IF(T166="","",T166)</f>
        <v>Тариф по водоснабжению без НДС</v>
      </c>
      <c r="CS166" s="1631"/>
      <c r="CT166" s="1631"/>
      <c r="CU166" s="1642">
        <v>0</v>
      </c>
    </row>
    <row s="1857" customFormat="1" customHeight="1" ht="14.25">
      <c r="A167" s="1370"/>
      <c r="B167" s="1370"/>
      <c r="C167" s="1370"/>
      <c r="D167" s="1370"/>
      <c r="E167" s="2266"/>
      <c r="F167" s="2266" t="s">
        <v>152</v>
      </c>
      <c r="G167" s="2266"/>
      <c r="H167" s="2266"/>
      <c r="I167" s="2293"/>
      <c r="J167" s="2293"/>
      <c r="K167" s="2263"/>
      <c r="L167" s="1376"/>
      <c r="M167" s="1783"/>
      <c r="N167" s="1783"/>
      <c r="O167" s="1783"/>
      <c r="P167" s="2381"/>
      <c r="Q167" s="2381"/>
      <c r="R167" s="364"/>
      <c r="S167" s="2520"/>
      <c r="T167" s="307"/>
      <c r="U167" s="307"/>
      <c r="V167" s="332"/>
      <c r="W167" s="332"/>
      <c r="X167" s="335" t="str">
        <f>Y166&amp;"-"&amp;AA166</f>
        <v>-</v>
      </c>
      <c r="Y167" s="2316"/>
      <c r="Z167" s="2114"/>
      <c r="AA167" s="2316"/>
      <c r="AB167" s="2114"/>
      <c r="AC167" s="332"/>
      <c r="AD167" s="332"/>
      <c r="AE167" s="335" t="str">
        <f>AF166&amp;"-"&amp;AH166</f>
        <v>44896-45291</v>
      </c>
      <c r="AF167" s="2316"/>
      <c r="AG167" s="2114"/>
      <c r="AH167" s="2295"/>
      <c r="AI167" s="2114"/>
      <c r="AJ167" s="332"/>
      <c r="AK167" s="332"/>
      <c r="AL167" s="335" t="str">
        <f>AM166&amp;"-"&amp;AO166</f>
        <v>45292-45473</v>
      </c>
      <c r="AM167" s="2316"/>
      <c r="AN167" s="2114"/>
      <c r="AO167" s="2316"/>
      <c r="AP167" s="2114"/>
      <c r="AQ167" s="332"/>
      <c r="AR167" s="332"/>
      <c r="AS167" s="335" t="str">
        <f>AT166&amp;"-"&amp;AV166</f>
        <v>45474-45657</v>
      </c>
      <c r="AT167" s="2316"/>
      <c r="AU167" s="2114"/>
      <c r="AV167" s="2316"/>
      <c r="AW167" s="2114"/>
      <c r="AX167" s="332"/>
      <c r="AY167" s="332"/>
      <c r="AZ167" s="335" t="str">
        <f>BA166&amp;"-"&amp;BC166</f>
        <v>45658-45838</v>
      </c>
      <c r="BA167" s="2316"/>
      <c r="BB167" s="2114"/>
      <c r="BC167" s="2316"/>
      <c r="BD167" s="2114"/>
      <c r="BE167" s="332"/>
      <c r="BF167" s="332"/>
      <c r="BG167" s="335" t="str">
        <f>BH166&amp;"-"&amp;BJ166</f>
        <v>45839-46022</v>
      </c>
      <c r="BH167" s="2316"/>
      <c r="BI167" s="2114"/>
      <c r="BJ167" s="2316"/>
      <c r="BK167" s="2114"/>
      <c r="BL167" s="332"/>
      <c r="BM167" s="332"/>
      <c r="BN167" s="335" t="str">
        <f>BO166&amp;"-"&amp;BQ166</f>
        <v>46023-46203</v>
      </c>
      <c r="BO167" s="2316"/>
      <c r="BP167" s="2114"/>
      <c r="BQ167" s="2316"/>
      <c r="BR167" s="2114"/>
      <c r="BS167" s="332"/>
      <c r="BT167" s="332"/>
      <c r="BU167" s="335" t="str">
        <f>BV166&amp;"-"&amp;BX166</f>
        <v>46204-46387</v>
      </c>
      <c r="BV167" s="2316"/>
      <c r="BW167" s="2114"/>
      <c r="BX167" s="2316"/>
      <c r="BY167" s="2114"/>
      <c r="BZ167" s="332"/>
      <c r="CA167" s="332"/>
      <c r="CB167" s="335" t="str">
        <f>CC166&amp;"-"&amp;CE166</f>
        <v>46388-46568</v>
      </c>
      <c r="CC167" s="2316"/>
      <c r="CD167" s="2114"/>
      <c r="CE167" s="2316"/>
      <c r="CF167" s="2114"/>
      <c r="CG167" s="332"/>
      <c r="CH167" s="332"/>
      <c r="CI167" s="335" t="str">
        <f>CJ166&amp;"-"&amp;CL166</f>
        <v>46569-46752</v>
      </c>
      <c r="CJ167" s="2316"/>
      <c r="CK167" s="2114"/>
      <c r="CL167" s="2316"/>
      <c r="CM167" s="2114"/>
      <c r="CN167" s="1446"/>
      <c r="CO167" s="2356"/>
      <c r="CP167" s="1649"/>
      <c r="CQ167" s="1631"/>
      <c r="CR167" s="1631" t="str">
        <f>IF(T167="","",T167)</f>
        <v/>
      </c>
      <c r="CS167" s="1631"/>
      <c r="CT167" s="1631"/>
      <c r="CU167" s="1642">
        <v>0</v>
      </c>
    </row>
    <row s="1857" customFormat="1" customHeight="1" ht="21">
      <c r="A168" s="1370"/>
      <c r="B168" s="1370"/>
      <c r="C168" s="1370"/>
      <c r="D168" s="1370"/>
      <c r="E168" s="2266"/>
      <c r="F168" s="2266" t="s">
        <v>152</v>
      </c>
      <c r="G168" s="2266"/>
      <c r="H168" s="2266"/>
      <c r="I168" s="2293"/>
      <c r="J168" s="2263"/>
      <c r="K168" s="1370"/>
      <c r="L168" s="1376"/>
      <c r="M168" s="1783"/>
      <c r="N168" s="1783"/>
      <c r="O168" s="1783"/>
      <c r="P168" s="2381"/>
      <c r="Q168" s="2381"/>
      <c r="R168" s="363"/>
      <c r="S168" s="3640"/>
      <c r="T168" s="3641" t="s">
        <v>646</v>
      </c>
      <c r="U168" s="3642"/>
      <c r="V168" s="3643"/>
      <c r="W168" s="3644"/>
      <c r="X168" s="3645"/>
      <c r="Y168" s="3646"/>
      <c r="Z168" s="3647"/>
      <c r="AA168" s="3648"/>
      <c r="AB168" s="3649"/>
      <c r="AC168" s="3650"/>
      <c r="AD168" s="3651"/>
      <c r="AE168" s="3652"/>
      <c r="AF168" s="3653"/>
      <c r="AG168" s="3654"/>
      <c r="AH168" s="3655"/>
      <c r="AI168" s="3656"/>
      <c r="AJ168" s="11178"/>
      <c r="AK168" s="11179"/>
      <c r="AL168" s="11180"/>
      <c r="AM168" s="11181"/>
      <c r="AN168" s="11182"/>
      <c r="AO168" s="11183"/>
      <c r="AP168" s="11184"/>
      <c r="AQ168" s="11185"/>
      <c r="AR168" s="11186"/>
      <c r="AS168" s="11187"/>
      <c r="AT168" s="11188"/>
      <c r="AU168" s="11189"/>
      <c r="AV168" s="11190"/>
      <c r="AW168" s="11191"/>
      <c r="AX168" s="11192"/>
      <c r="AY168" s="11193"/>
      <c r="AZ168" s="11194"/>
      <c r="BA168" s="11195"/>
      <c r="BB168" s="11196"/>
      <c r="BC168" s="11197"/>
      <c r="BD168" s="11198"/>
      <c r="BE168" s="11199"/>
      <c r="BF168" s="11200"/>
      <c r="BG168" s="11201"/>
      <c r="BH168" s="11202"/>
      <c r="BI168" s="11203"/>
      <c r="BJ168" s="11204"/>
      <c r="BK168" s="11205"/>
      <c r="BL168" s="11206"/>
      <c r="BM168" s="11207"/>
      <c r="BN168" s="11208"/>
      <c r="BO168" s="11209"/>
      <c r="BP168" s="11210"/>
      <c r="BQ168" s="11211"/>
      <c r="BR168" s="11212"/>
      <c r="BS168" s="11213"/>
      <c r="BT168" s="11214"/>
      <c r="BU168" s="11215"/>
      <c r="BV168" s="11216"/>
      <c r="BW168" s="11217"/>
      <c r="BX168" s="11218"/>
      <c r="BY168" s="11219"/>
      <c r="BZ168" s="11220"/>
      <c r="CA168" s="11221"/>
      <c r="CB168" s="11222"/>
      <c r="CC168" s="11223"/>
      <c r="CD168" s="11224"/>
      <c r="CE168" s="11225"/>
      <c r="CF168" s="11226"/>
      <c r="CG168" s="11227"/>
      <c r="CH168" s="11228"/>
      <c r="CI168" s="11229"/>
      <c r="CJ168" s="11230"/>
      <c r="CK168" s="11231"/>
      <c r="CL168" s="11232"/>
      <c r="CM168" s="12730"/>
      <c r="CN168" s="3664"/>
      <c r="CO168" s="1265" t="s">
        <v>647</v>
      </c>
      <c r="CP168" s="1649"/>
      <c r="CQ168" s="1631"/>
      <c r="CR168" s="1631" t="str">
        <f>IF(T168="","",T168)</f>
        <v>Добавить значение признака дифференциации</v>
      </c>
      <c r="CS168" s="1631"/>
      <c r="CT168" s="1631"/>
      <c r="CU168" s="1642">
        <v>0</v>
      </c>
    </row>
    <row s="1857" customFormat="1" customHeight="1" ht="21">
      <c r="A169" s="1370"/>
      <c r="B169" s="1370"/>
      <c r="C169" s="1370"/>
      <c r="D169" s="1370"/>
      <c r="E169" s="2266"/>
      <c r="F169" s="2266" t="s">
        <v>152</v>
      </c>
      <c r="G169" s="2266"/>
      <c r="H169" s="2266"/>
      <c r="I169" s="2263"/>
      <c r="J169" s="1370"/>
      <c r="K169" s="1370"/>
      <c r="L169" s="1376"/>
      <c r="M169" s="1783"/>
      <c r="N169" s="1783"/>
      <c r="O169" s="1783"/>
      <c r="P169" s="2381"/>
      <c r="Q169" s="2381"/>
      <c r="R169" s="363"/>
      <c r="S169" s="3665"/>
      <c r="T169" s="3666" t="s">
        <v>575</v>
      </c>
      <c r="U169" s="3667"/>
      <c r="V169" s="3668"/>
      <c r="W169" s="3669"/>
      <c r="X169" s="3670"/>
      <c r="Y169" s="3671"/>
      <c r="Z169" s="3672"/>
      <c r="AA169" s="3673"/>
      <c r="AB169" s="3674"/>
      <c r="AC169" s="3675"/>
      <c r="AD169" s="3676"/>
      <c r="AE169" s="3677"/>
      <c r="AF169" s="3678"/>
      <c r="AG169" s="3679"/>
      <c r="AH169" s="3680"/>
      <c r="AI169" s="3681"/>
      <c r="AJ169" s="11234"/>
      <c r="AK169" s="11235"/>
      <c r="AL169" s="11236"/>
      <c r="AM169" s="11237"/>
      <c r="AN169" s="11238"/>
      <c r="AO169" s="11239"/>
      <c r="AP169" s="11240"/>
      <c r="AQ169" s="11241"/>
      <c r="AR169" s="11242"/>
      <c r="AS169" s="11243"/>
      <c r="AT169" s="11244"/>
      <c r="AU169" s="11245"/>
      <c r="AV169" s="11246"/>
      <c r="AW169" s="11247"/>
      <c r="AX169" s="11248"/>
      <c r="AY169" s="11249"/>
      <c r="AZ169" s="11250"/>
      <c r="BA169" s="11251"/>
      <c r="BB169" s="11252"/>
      <c r="BC169" s="11253"/>
      <c r="BD169" s="11254"/>
      <c r="BE169" s="11255"/>
      <c r="BF169" s="11256"/>
      <c r="BG169" s="11257"/>
      <c r="BH169" s="11258"/>
      <c r="BI169" s="11259"/>
      <c r="BJ169" s="11260"/>
      <c r="BK169" s="11261"/>
      <c r="BL169" s="11262"/>
      <c r="BM169" s="11263"/>
      <c r="BN169" s="11264"/>
      <c r="BO169" s="11265"/>
      <c r="BP169" s="11266"/>
      <c r="BQ169" s="11267"/>
      <c r="BR169" s="11268"/>
      <c r="BS169" s="11269"/>
      <c r="BT169" s="11270"/>
      <c r="BU169" s="11271"/>
      <c r="BV169" s="11272"/>
      <c r="BW169" s="11273"/>
      <c r="BX169" s="11274"/>
      <c r="BY169" s="11275"/>
      <c r="BZ169" s="11276"/>
      <c r="CA169" s="11277"/>
      <c r="CB169" s="11278"/>
      <c r="CC169" s="11279"/>
      <c r="CD169" s="11280"/>
      <c r="CE169" s="11281"/>
      <c r="CF169" s="11282"/>
      <c r="CG169" s="11283"/>
      <c r="CH169" s="11284"/>
      <c r="CI169" s="11285"/>
      <c r="CJ169" s="11286"/>
      <c r="CK169" s="11287"/>
      <c r="CL169" s="11288"/>
      <c r="CM169" s="12731"/>
      <c r="CN169" s="3689"/>
      <c r="CO169" s="3690"/>
      <c r="CP169" s="1649"/>
      <c r="CQ169" s="1631"/>
      <c r="CR169" s="1631" t="str">
        <f>IF(T169="","",T169)</f>
        <v>Добавить группу потребителей</v>
      </c>
      <c r="CS169" s="1631"/>
      <c r="CT169" s="1631"/>
      <c r="CU169" s="1642">
        <v>0</v>
      </c>
    </row>
    <row s="1857" customFormat="1" customHeight="1" ht="14.25">
      <c r="A170" s="1370"/>
      <c r="B170" s="1370"/>
      <c r="C170" s="1370"/>
      <c r="D170" s="1370"/>
      <c r="E170" s="2266"/>
      <c r="F170" s="2266" t="s">
        <v>152</v>
      </c>
      <c r="G170" s="2266"/>
      <c r="H170" s="2265"/>
      <c r="I170" s="1370"/>
      <c r="J170" s="1370"/>
      <c r="K170" s="1370"/>
      <c r="L170" s="1376"/>
      <c r="M170" s="1372"/>
      <c r="N170" s="1372"/>
      <c r="O170" s="1373"/>
      <c r="P170" s="1830"/>
      <c r="Q170" s="382"/>
      <c r="R170" s="362"/>
      <c r="S170" s="3691"/>
      <c r="T170" s="3692" t="s">
        <v>648</v>
      </c>
      <c r="U170" s="3693"/>
      <c r="V170" s="3694"/>
      <c r="W170" s="3695"/>
      <c r="X170" s="3696"/>
      <c r="Y170" s="3697"/>
      <c r="Z170" s="3698"/>
      <c r="AA170" s="3699"/>
      <c r="AB170" s="3700"/>
      <c r="AC170" s="3701"/>
      <c r="AD170" s="3702"/>
      <c r="AE170" s="3703"/>
      <c r="AF170" s="3704"/>
      <c r="AG170" s="3705"/>
      <c r="AH170" s="3706"/>
      <c r="AI170" s="3707"/>
      <c r="AJ170" s="11290"/>
      <c r="AK170" s="11291"/>
      <c r="AL170" s="11292"/>
      <c r="AM170" s="11293"/>
      <c r="AN170" s="11294"/>
      <c r="AO170" s="11295"/>
      <c r="AP170" s="11296"/>
      <c r="AQ170" s="11297"/>
      <c r="AR170" s="11298"/>
      <c r="AS170" s="11299"/>
      <c r="AT170" s="11300"/>
      <c r="AU170" s="11301"/>
      <c r="AV170" s="11302"/>
      <c r="AW170" s="11303"/>
      <c r="AX170" s="11304"/>
      <c r="AY170" s="11305"/>
      <c r="AZ170" s="11306"/>
      <c r="BA170" s="11307"/>
      <c r="BB170" s="11308"/>
      <c r="BC170" s="11309"/>
      <c r="BD170" s="11310"/>
      <c r="BE170" s="11311"/>
      <c r="BF170" s="11312"/>
      <c r="BG170" s="11313"/>
      <c r="BH170" s="11314"/>
      <c r="BI170" s="11315"/>
      <c r="BJ170" s="11316"/>
      <c r="BK170" s="11317"/>
      <c r="BL170" s="11318"/>
      <c r="BM170" s="11319"/>
      <c r="BN170" s="11320"/>
      <c r="BO170" s="11321"/>
      <c r="BP170" s="11322"/>
      <c r="BQ170" s="11323"/>
      <c r="BR170" s="11324"/>
      <c r="BS170" s="11325"/>
      <c r="BT170" s="11326"/>
      <c r="BU170" s="11327"/>
      <c r="BV170" s="11328"/>
      <c r="BW170" s="11329"/>
      <c r="BX170" s="11330"/>
      <c r="BY170" s="11331"/>
      <c r="BZ170" s="11332"/>
      <c r="CA170" s="11333"/>
      <c r="CB170" s="11334"/>
      <c r="CC170" s="11335"/>
      <c r="CD170" s="11336"/>
      <c r="CE170" s="11337"/>
      <c r="CF170" s="11338"/>
      <c r="CG170" s="11339"/>
      <c r="CH170" s="11340"/>
      <c r="CI170" s="11341"/>
      <c r="CJ170" s="11342"/>
      <c r="CK170" s="11343"/>
      <c r="CL170" s="11344"/>
      <c r="CM170" s="12732"/>
      <c r="CN170" s="3715"/>
      <c r="CO170" s="3716"/>
      <c r="CP170" s="1649"/>
      <c r="CQ170" s="1631"/>
      <c r="CR170" s="1631" t="str">
        <f>IF(T170="","",T170)</f>
        <v>Добавить наименование признака дифференциации</v>
      </c>
      <c r="CS170" s="1631"/>
      <c r="CT170" s="1631"/>
      <c r="CU170" s="1642">
        <v>0</v>
      </c>
    </row>
    <row s="629" customFormat="1" customHeight="1" ht="14.25">
      <c r="A171" s="1350"/>
      <c r="B171" s="1350"/>
      <c r="C171" s="1350"/>
      <c r="D171" s="1350"/>
      <c r="E171" s="2266"/>
      <c r="F171" s="2265" t="s">
        <v>152</v>
      </c>
      <c r="G171" s="1350"/>
      <c r="H171" s="1350"/>
      <c r="I171" s="1350"/>
      <c r="J171" s="1350"/>
      <c r="K171" s="1350"/>
      <c r="L171" s="1552"/>
      <c r="M171" s="1328"/>
      <c r="N171" s="1328"/>
      <c r="O171" s="1649"/>
      <c r="P171" s="1323"/>
      <c r="Q171" s="1351"/>
      <c r="R171" s="1323"/>
      <c r="S171" s="1329"/>
      <c r="T171" s="1332" t="s">
        <v>316</v>
      </c>
      <c r="U171" s="1331"/>
      <c r="V171" s="1331"/>
      <c r="W171" s="1331"/>
      <c r="X171" s="1331"/>
      <c r="Y171" s="1331"/>
      <c r="Z171" s="1331"/>
      <c r="AA171" s="1331"/>
      <c r="AB171" s="1331"/>
      <c r="AC171" s="1331"/>
      <c r="AD171" s="1331"/>
      <c r="AE171" s="1331"/>
      <c r="AF171" s="1331"/>
      <c r="AG171" s="1331"/>
      <c r="AH171" s="1331"/>
      <c r="AI171" s="1331"/>
      <c r="AJ171" s="1331"/>
      <c r="AK171" s="1331"/>
      <c r="AL171" s="1331"/>
      <c r="AM171" s="1331"/>
      <c r="AN171" s="1331"/>
      <c r="AO171" s="1331"/>
      <c r="AP171" s="1331"/>
      <c r="AQ171" s="1331"/>
      <c r="AR171" s="1331"/>
      <c r="AS171" s="1331"/>
      <c r="AT171" s="1331"/>
      <c r="AU171" s="1331"/>
      <c r="AV171" s="1331"/>
      <c r="AW171" s="1331"/>
      <c r="AX171" s="1331"/>
      <c r="AY171" s="1331"/>
      <c r="AZ171" s="1331"/>
      <c r="BA171" s="1331"/>
      <c r="BB171" s="1331"/>
      <c r="BC171" s="1331"/>
      <c r="BD171" s="1331"/>
      <c r="BE171" s="1331"/>
      <c r="BF171" s="1331"/>
      <c r="BG171" s="1331"/>
      <c r="BH171" s="1331"/>
      <c r="BI171" s="1331"/>
      <c r="BJ171" s="1331"/>
      <c r="BK171" s="1331"/>
      <c r="BL171" s="1331"/>
      <c r="BM171" s="1331"/>
      <c r="BN171" s="1331"/>
      <c r="BO171" s="1331"/>
      <c r="BP171" s="1331"/>
      <c r="BQ171" s="1331"/>
      <c r="BR171" s="1331"/>
      <c r="BS171" s="1331"/>
      <c r="BT171" s="1331"/>
      <c r="BU171" s="1331"/>
      <c r="BV171" s="1331"/>
      <c r="BW171" s="1331"/>
      <c r="BX171" s="1331"/>
      <c r="BY171" s="1331"/>
      <c r="BZ171" s="1331"/>
      <c r="CA171" s="1331"/>
      <c r="CB171" s="1331"/>
      <c r="CC171" s="1331"/>
      <c r="CD171" s="1331"/>
      <c r="CE171" s="1331"/>
      <c r="CF171" s="1331"/>
      <c r="CG171" s="1331"/>
      <c r="CH171" s="1331"/>
      <c r="CI171" s="1331"/>
      <c r="CJ171" s="1331"/>
      <c r="CK171" s="1331"/>
      <c r="CL171" s="1331"/>
      <c r="CM171" s="1331"/>
      <c r="CN171" s="1331"/>
      <c r="CO171" s="1331"/>
      <c r="CP171" s="1649"/>
      <c r="CQ171" s="1631"/>
      <c r="CR171" s="1631" t="str">
        <f>IF(T171="","",T171)</f>
        <v>Добавить централизованную систему для дифференциации</v>
      </c>
      <c r="CS171" s="1631"/>
      <c r="CT171" s="1631"/>
      <c r="CU171" s="1649">
        <v>0</v>
      </c>
    </row>
    <row s="1857" customFormat="1" customHeight="1" ht="23.25">
      <c r="A172" s="1370"/>
      <c r="B172" s="1370" t="s">
        <v>359</v>
      </c>
      <c r="C172" s="1370"/>
      <c r="D172" s="1370"/>
      <c r="E172" s="2266"/>
      <c r="F172" s="2265" t="s">
        <v>162</v>
      </c>
      <c r="G172" s="1370"/>
      <c r="H172" s="1370"/>
      <c r="I172" s="1370"/>
      <c r="J172" s="1370"/>
      <c r="K172" s="1370"/>
      <c r="L172" s="1376"/>
      <c r="M172" s="1372"/>
      <c r="N172" s="1372"/>
      <c r="O172" s="1372"/>
      <c r="P172" s="2132"/>
      <c r="Q172" s="359"/>
      <c r="R172" s="360"/>
      <c r="S172" s="2280" t="str">
        <f>INDEX(PT_DIFFERENTIATION_NUM_TER,MATCH(B172,PT_DIFFERENTIATION_TER_ID,0))</f>
        <v>1.14</v>
      </c>
      <c r="T172" s="1529" t="s">
        <v>560</v>
      </c>
      <c r="U172" s="307"/>
      <c r="V172" s="2249"/>
      <c r="W172" s="2250"/>
      <c r="X172" s="2250"/>
      <c r="Y172" s="2250"/>
      <c r="Z172" s="2250"/>
      <c r="AA172" s="2250"/>
      <c r="AB172" s="2251"/>
      <c r="AC172" s="2249" t="str">
        <f>INDEX(PT_DIFFERENTIATION_TER,MATCH(B172,PT_DIFFERENTIATION_TER_ID,0))</f>
        <v>Территория 14</v>
      </c>
      <c r="AD172" s="2250"/>
      <c r="AE172" s="2250"/>
      <c r="AF172" s="2250"/>
      <c r="AG172" s="2250"/>
      <c r="AH172" s="2250"/>
      <c r="AI172" s="2250"/>
      <c r="AJ172" s="2249"/>
      <c r="AK172" s="2250"/>
      <c r="AL172" s="2250"/>
      <c r="AM172" s="2250"/>
      <c r="AN172" s="2250"/>
      <c r="AO172" s="2250"/>
      <c r="AP172" s="2251"/>
      <c r="AQ172" s="2249"/>
      <c r="AR172" s="2250"/>
      <c r="AS172" s="2250"/>
      <c r="AT172" s="2250"/>
      <c r="AU172" s="2250"/>
      <c r="AV172" s="2250"/>
      <c r="AW172" s="2251"/>
      <c r="AX172" s="2249"/>
      <c r="AY172" s="2250"/>
      <c r="AZ172" s="2250"/>
      <c r="BA172" s="2250"/>
      <c r="BB172" s="2250"/>
      <c r="BC172" s="2250"/>
      <c r="BD172" s="2251"/>
      <c r="BE172" s="2249"/>
      <c r="BF172" s="2250"/>
      <c r="BG172" s="2250"/>
      <c r="BH172" s="2250"/>
      <c r="BI172" s="2250"/>
      <c r="BJ172" s="2250"/>
      <c r="BK172" s="2251"/>
      <c r="BL172" s="2249"/>
      <c r="BM172" s="2250"/>
      <c r="BN172" s="2250"/>
      <c r="BO172" s="2250"/>
      <c r="BP172" s="2250"/>
      <c r="BQ172" s="2250"/>
      <c r="BR172" s="2251"/>
      <c r="BS172" s="2249"/>
      <c r="BT172" s="2250"/>
      <c r="BU172" s="2250"/>
      <c r="BV172" s="2250"/>
      <c r="BW172" s="2250"/>
      <c r="BX172" s="2250"/>
      <c r="BY172" s="2251"/>
      <c r="BZ172" s="2249"/>
      <c r="CA172" s="2250"/>
      <c r="CB172" s="2250"/>
      <c r="CC172" s="2250"/>
      <c r="CD172" s="2250"/>
      <c r="CE172" s="2250"/>
      <c r="CF172" s="2251"/>
      <c r="CG172" s="2249"/>
      <c r="CH172" s="2250"/>
      <c r="CI172" s="2250"/>
      <c r="CJ172" s="2250"/>
      <c r="CK172" s="2250"/>
      <c r="CL172" s="2250"/>
      <c r="CM172" s="4492"/>
      <c r="CN172" s="2251"/>
      <c r="CO172" s="1265" t="s">
        <v>561</v>
      </c>
      <c r="CP172" s="1649"/>
      <c r="CQ172" s="1631"/>
      <c r="CR172" s="1631" t="str">
        <f>IF(T172="","",T172)</f>
        <v>Территория действия тарифа</v>
      </c>
      <c r="CS172" s="1631"/>
      <c r="CT172" s="1631"/>
      <c r="CU172" s="1642">
        <v>0</v>
      </c>
    </row>
    <row s="1857" customFormat="1" customHeight="1" ht="23.25">
      <c r="A173" s="1370"/>
      <c r="B173" s="1370"/>
      <c r="C173" s="1370" t="s">
        <v>360</v>
      </c>
      <c r="D173" s="1370"/>
      <c r="E173" s="2266"/>
      <c r="F173" s="2266" t="s">
        <v>157</v>
      </c>
      <c r="G173" s="2265">
        <v>1</v>
      </c>
      <c r="H173" s="1370"/>
      <c r="I173" s="1370"/>
      <c r="J173" s="1370"/>
      <c r="K173" s="1370"/>
      <c r="L173" s="1376"/>
      <c r="M173" s="1372"/>
      <c r="N173" s="1372"/>
      <c r="O173" s="1372"/>
      <c r="P173" s="361"/>
      <c r="Q173" s="359"/>
      <c r="R173" s="360"/>
      <c r="S173" s="2280" t="str">
        <f>INDEX(PT_DIFFERENTIATION_NUM_CS,MATCH(C173,PT_DIFFERENTIATION_CS_ID,0))</f>
        <v>1.14.1</v>
      </c>
      <c r="T173" s="316" t="s">
        <v>641</v>
      </c>
      <c r="U173" s="307"/>
      <c r="V173" s="2249"/>
      <c r="W173" s="2250"/>
      <c r="X173" s="2250"/>
      <c r="Y173" s="2250"/>
      <c r="Z173" s="2250"/>
      <c r="AA173" s="2250"/>
      <c r="AB173" s="2251"/>
      <c r="AC173" s="2249" t="str">
        <f>INDEX(PT_DIFFERENTIATION_CS,MATCH(C173,PT_DIFFERENTIATION_CS_ID,0))</f>
        <v>Прохоровский район</v>
      </c>
      <c r="AD173" s="2250"/>
      <c r="AE173" s="2250"/>
      <c r="AF173" s="2250"/>
      <c r="AG173" s="2250"/>
      <c r="AH173" s="2250"/>
      <c r="AI173" s="2250"/>
      <c r="AJ173" s="2249"/>
      <c r="AK173" s="2250"/>
      <c r="AL173" s="2250"/>
      <c r="AM173" s="2250"/>
      <c r="AN173" s="2250"/>
      <c r="AO173" s="2250"/>
      <c r="AP173" s="2251"/>
      <c r="AQ173" s="2249"/>
      <c r="AR173" s="2250"/>
      <c r="AS173" s="2250"/>
      <c r="AT173" s="2250"/>
      <c r="AU173" s="2250"/>
      <c r="AV173" s="2250"/>
      <c r="AW173" s="2251"/>
      <c r="AX173" s="2249"/>
      <c r="AY173" s="2250"/>
      <c r="AZ173" s="2250"/>
      <c r="BA173" s="2250"/>
      <c r="BB173" s="2250"/>
      <c r="BC173" s="2250"/>
      <c r="BD173" s="2251"/>
      <c r="BE173" s="2249"/>
      <c r="BF173" s="2250"/>
      <c r="BG173" s="2250"/>
      <c r="BH173" s="2250"/>
      <c r="BI173" s="2250"/>
      <c r="BJ173" s="2250"/>
      <c r="BK173" s="2251"/>
      <c r="BL173" s="2249"/>
      <c r="BM173" s="2250"/>
      <c r="BN173" s="2250"/>
      <c r="BO173" s="2250"/>
      <c r="BP173" s="2250"/>
      <c r="BQ173" s="2250"/>
      <c r="BR173" s="2251"/>
      <c r="BS173" s="2249"/>
      <c r="BT173" s="2250"/>
      <c r="BU173" s="2250"/>
      <c r="BV173" s="2250"/>
      <c r="BW173" s="2250"/>
      <c r="BX173" s="2250"/>
      <c r="BY173" s="2251"/>
      <c r="BZ173" s="2249"/>
      <c r="CA173" s="2250"/>
      <c r="CB173" s="2250"/>
      <c r="CC173" s="2250"/>
      <c r="CD173" s="2250"/>
      <c r="CE173" s="2250"/>
      <c r="CF173" s="2251"/>
      <c r="CG173" s="2249"/>
      <c r="CH173" s="2250"/>
      <c r="CI173" s="2250"/>
      <c r="CJ173" s="2250"/>
      <c r="CK173" s="2250"/>
      <c r="CL173" s="2250"/>
      <c r="CM173" s="4492"/>
      <c r="CN173" s="2251"/>
      <c r="CO173" s="1265" t="s">
        <v>642</v>
      </c>
      <c r="CP173" s="1649"/>
      <c r="CQ173" s="1631"/>
      <c r="CR173" s="1631" t="str">
        <f>IF(T173="","",T173)</f>
        <v>Наименование централизованной системы холодного водоснабжения</v>
      </c>
      <c r="CS173" s="1631"/>
      <c r="CT173" s="1631"/>
      <c r="CU173" s="1642">
        <v>0</v>
      </c>
    </row>
    <row s="1857" customFormat="1" customHeight="1" ht="23.25">
      <c r="A174" s="1370"/>
      <c r="B174" s="1370"/>
      <c r="C174" s="1370"/>
      <c r="D174" s="1370"/>
      <c r="E174" s="2266"/>
      <c r="F174" s="2266" t="s">
        <v>157</v>
      </c>
      <c r="G174" s="2266"/>
      <c r="H174" s="2266"/>
      <c r="I174" s="2263" t="str">
        <f>S173&amp;".1"</f>
        <v>1.14.1.1</v>
      </c>
      <c r="J174" s="1370"/>
      <c r="K174" s="1370"/>
      <c r="L174" s="1376"/>
      <c r="M174" s="1783"/>
      <c r="N174" s="1783"/>
      <c r="O174" s="1783"/>
      <c r="P174" s="2381">
        <v>1</v>
      </c>
      <c r="Q174" s="2381"/>
      <c r="R174" s="363"/>
      <c r="S174" s="2280" t="str">
        <f>$I174</f>
        <v>1.14.1.1</v>
      </c>
      <c r="T174" s="292" t="s">
        <v>643</v>
      </c>
      <c r="U174" s="307"/>
      <c r="V174" s="2357"/>
      <c r="W174" s="2358"/>
      <c r="X174" s="2358"/>
      <c r="Y174" s="2358"/>
      <c r="Z174" s="2358"/>
      <c r="AA174" s="2358"/>
      <c r="AB174" s="2359"/>
      <c r="AC174" s="2360" t="s">
        <v>165</v>
      </c>
      <c r="AD174" s="2361"/>
      <c r="AE174" s="2361"/>
      <c r="AF174" s="2361"/>
      <c r="AG174" s="2361"/>
      <c r="AH174" s="2361"/>
      <c r="AI174" s="2361"/>
      <c r="AJ174" s="2357"/>
      <c r="AK174" s="2358"/>
      <c r="AL174" s="2358"/>
      <c r="AM174" s="2358"/>
      <c r="AN174" s="2358"/>
      <c r="AO174" s="2358"/>
      <c r="AP174" s="2359"/>
      <c r="AQ174" s="2357"/>
      <c r="AR174" s="2358"/>
      <c r="AS174" s="2358"/>
      <c r="AT174" s="2358"/>
      <c r="AU174" s="2358"/>
      <c r="AV174" s="2358"/>
      <c r="AW174" s="2359"/>
      <c r="AX174" s="2357"/>
      <c r="AY174" s="2358"/>
      <c r="AZ174" s="2358"/>
      <c r="BA174" s="2358"/>
      <c r="BB174" s="2358"/>
      <c r="BC174" s="2358"/>
      <c r="BD174" s="2359"/>
      <c r="BE174" s="2357"/>
      <c r="BF174" s="2358"/>
      <c r="BG174" s="2358"/>
      <c r="BH174" s="2358"/>
      <c r="BI174" s="2358"/>
      <c r="BJ174" s="2358"/>
      <c r="BK174" s="2359"/>
      <c r="BL174" s="2357"/>
      <c r="BM174" s="2358"/>
      <c r="BN174" s="2358"/>
      <c r="BO174" s="2358"/>
      <c r="BP174" s="2358"/>
      <c r="BQ174" s="2358"/>
      <c r="BR174" s="2359"/>
      <c r="BS174" s="2357"/>
      <c r="BT174" s="2358"/>
      <c r="BU174" s="2358"/>
      <c r="BV174" s="2358"/>
      <c r="BW174" s="2358"/>
      <c r="BX174" s="2358"/>
      <c r="BY174" s="2359"/>
      <c r="BZ174" s="2357"/>
      <c r="CA174" s="2358"/>
      <c r="CB174" s="2358"/>
      <c r="CC174" s="2358"/>
      <c r="CD174" s="2358"/>
      <c r="CE174" s="2358"/>
      <c r="CF174" s="2359"/>
      <c r="CG174" s="2357"/>
      <c r="CH174" s="2358"/>
      <c r="CI174" s="2358"/>
      <c r="CJ174" s="2358"/>
      <c r="CK174" s="2358"/>
      <c r="CL174" s="2358"/>
      <c r="CM174" s="4495"/>
      <c r="CN174" s="2362"/>
      <c r="CO174" s="1265" t="s">
        <v>644</v>
      </c>
      <c r="CP174" s="1649"/>
      <c r="CQ174" s="1631"/>
      <c r="CR174" s="1631" t="str">
        <f>IF(T174="","",T174)</f>
        <v>Наименование признака дифференциации</v>
      </c>
      <c r="CS174" s="1631"/>
      <c r="CT174" s="1631"/>
      <c r="CU174" s="1642">
        <v>0</v>
      </c>
    </row>
    <row s="1857" customFormat="1" customHeight="1" ht="23.25">
      <c r="A175" s="1370"/>
      <c r="B175" s="1370"/>
      <c r="C175" s="1370"/>
      <c r="D175" s="1370"/>
      <c r="E175" s="2266"/>
      <c r="F175" s="2266" t="s">
        <v>157</v>
      </c>
      <c r="G175" s="2266"/>
      <c r="H175" s="2266"/>
      <c r="I175" s="2293"/>
      <c r="J175" s="2263" t="str">
        <f>I174&amp;".1"</f>
        <v>1.14.1.1.1</v>
      </c>
      <c r="K175" s="1370"/>
      <c r="L175" s="1376" t="s">
        <v>569</v>
      </c>
      <c r="M175" s="1783"/>
      <c r="N175" s="1783"/>
      <c r="O175" s="1783"/>
      <c r="P175" s="2381"/>
      <c r="Q175" s="2381">
        <v>1</v>
      </c>
      <c r="R175" s="364"/>
      <c r="S175" s="2280" t="str">
        <f>$J175</f>
        <v>1.14.1.1.1</v>
      </c>
      <c r="T175" s="293" t="s">
        <v>570</v>
      </c>
      <c r="U175" s="307"/>
      <c r="V175" s="2252"/>
      <c r="W175" s="2253"/>
      <c r="X175" s="2253"/>
      <c r="Y175" s="2253"/>
      <c r="Z175" s="2253"/>
      <c r="AA175" s="2253"/>
      <c r="AB175" s="2254"/>
      <c r="AC175" s="2252" t="s">
        <v>656</v>
      </c>
      <c r="AD175" s="2253"/>
      <c r="AE175" s="2253"/>
      <c r="AF175" s="2253"/>
      <c r="AG175" s="2253"/>
      <c r="AH175" s="2253"/>
      <c r="AI175" s="2253"/>
      <c r="AJ175" s="2252"/>
      <c r="AK175" s="2253"/>
      <c r="AL175" s="2253"/>
      <c r="AM175" s="2253"/>
      <c r="AN175" s="2253"/>
      <c r="AO175" s="2253"/>
      <c r="AP175" s="2254"/>
      <c r="AQ175" s="2252"/>
      <c r="AR175" s="2253"/>
      <c r="AS175" s="2253"/>
      <c r="AT175" s="2253"/>
      <c r="AU175" s="2253"/>
      <c r="AV175" s="2253"/>
      <c r="AW175" s="2254"/>
      <c r="AX175" s="2252"/>
      <c r="AY175" s="2253"/>
      <c r="AZ175" s="2253"/>
      <c r="BA175" s="2253"/>
      <c r="BB175" s="2253"/>
      <c r="BC175" s="2253"/>
      <c r="BD175" s="2254"/>
      <c r="BE175" s="2252"/>
      <c r="BF175" s="2253"/>
      <c r="BG175" s="2253"/>
      <c r="BH175" s="2253"/>
      <c r="BI175" s="2253"/>
      <c r="BJ175" s="2253"/>
      <c r="BK175" s="2254"/>
      <c r="BL175" s="2252"/>
      <c r="BM175" s="2253"/>
      <c r="BN175" s="2253"/>
      <c r="BO175" s="2253"/>
      <c r="BP175" s="2253"/>
      <c r="BQ175" s="2253"/>
      <c r="BR175" s="2254"/>
      <c r="BS175" s="2252"/>
      <c r="BT175" s="2253"/>
      <c r="BU175" s="2253"/>
      <c r="BV175" s="2253"/>
      <c r="BW175" s="2253"/>
      <c r="BX175" s="2253"/>
      <c r="BY175" s="2254"/>
      <c r="BZ175" s="2252"/>
      <c r="CA175" s="2253"/>
      <c r="CB175" s="2253"/>
      <c r="CC175" s="2253"/>
      <c r="CD175" s="2253"/>
      <c r="CE175" s="2253"/>
      <c r="CF175" s="2254"/>
      <c r="CG175" s="2252"/>
      <c r="CH175" s="2253"/>
      <c r="CI175" s="2253"/>
      <c r="CJ175" s="2253"/>
      <c r="CK175" s="2253"/>
      <c r="CL175" s="2253"/>
      <c r="CM175" s="4498"/>
      <c r="CN175" s="2254"/>
      <c r="CO175" s="1314" t="s">
        <v>645</v>
      </c>
      <c r="CP175" s="1649"/>
      <c r="CQ175" s="1631"/>
      <c r="CR175" s="1631" t="str">
        <f>IF(T175="","",T175)</f>
        <v>Группа потребителей</v>
      </c>
      <c r="CS175" s="1631"/>
      <c r="CT175" s="1631"/>
      <c r="CU175" s="1642">
        <v>0</v>
      </c>
    </row>
    <row s="1857" customFormat="1" customHeight="1" ht="23.25">
      <c r="A176" s="1370"/>
      <c r="B176" s="1370"/>
      <c r="C176" s="1370"/>
      <c r="D176" s="1370"/>
      <c r="E176" s="2266"/>
      <c r="F176" s="2266" t="s">
        <v>157</v>
      </c>
      <c r="G176" s="2266"/>
      <c r="H176" s="2266"/>
      <c r="I176" s="2293"/>
      <c r="J176" s="2293"/>
      <c r="K176" s="2263" t="str">
        <f>J175&amp;".1"</f>
        <v>1.14.1.1.1.1</v>
      </c>
      <c r="L176" s="1376"/>
      <c r="M176" s="1783"/>
      <c r="N176" s="1783"/>
      <c r="O176" s="1783"/>
      <c r="P176" s="2381"/>
      <c r="Q176" s="2381"/>
      <c r="R176" s="364">
        <v>1</v>
      </c>
      <c r="S176" s="2280" t="str">
        <f>$K176</f>
        <v>1.14.1.1.1.1</v>
      </c>
      <c r="T176" s="1444" t="s">
        <v>657</v>
      </c>
      <c r="U176" s="307"/>
      <c r="V176" s="758"/>
      <c r="W176" s="758"/>
      <c r="X176" s="1264"/>
      <c r="Y176" s="2609"/>
      <c r="Z176" s="2114" t="s">
        <v>66</v>
      </c>
      <c r="AA176" s="2609"/>
      <c r="AB176" s="2114" t="s">
        <v>66</v>
      </c>
      <c r="AC176" s="758">
        <v>39.72</v>
      </c>
      <c r="AD176" s="758"/>
      <c r="AE176" s="1264"/>
      <c r="AF176" s="2609">
        <v>44896</v>
      </c>
      <c r="AG176" s="2114" t="s">
        <v>66</v>
      </c>
      <c r="AH176" s="2294">
        <v>45291</v>
      </c>
      <c r="AI176" s="2114" t="s">
        <v>66</v>
      </c>
      <c r="AJ176" s="758">
        <v>39.72</v>
      </c>
      <c r="AK176" s="758"/>
      <c r="AL176" s="1264"/>
      <c r="AM176" s="2609">
        <v>45292</v>
      </c>
      <c r="AN176" s="2114" t="s">
        <v>66</v>
      </c>
      <c r="AO176" s="2609">
        <v>45473</v>
      </c>
      <c r="AP176" s="2114" t="s">
        <v>66</v>
      </c>
      <c r="AQ176" s="758">
        <v>43.79</v>
      </c>
      <c r="AR176" s="758"/>
      <c r="AS176" s="1264"/>
      <c r="AT176" s="2609">
        <v>45474</v>
      </c>
      <c r="AU176" s="2114" t="s">
        <v>66</v>
      </c>
      <c r="AV176" s="2609">
        <v>45657</v>
      </c>
      <c r="AW176" s="2114" t="s">
        <v>66</v>
      </c>
      <c r="AX176" s="758">
        <v>43.79</v>
      </c>
      <c r="AY176" s="758"/>
      <c r="AZ176" s="1264"/>
      <c r="BA176" s="2609">
        <v>45658</v>
      </c>
      <c r="BB176" s="2114" t="s">
        <v>66</v>
      </c>
      <c r="BC176" s="2609">
        <v>45838</v>
      </c>
      <c r="BD176" s="2114" t="s">
        <v>66</v>
      </c>
      <c r="BE176" s="758">
        <v>50.17</v>
      </c>
      <c r="BF176" s="758"/>
      <c r="BG176" s="1264"/>
      <c r="BH176" s="2609">
        <v>45839</v>
      </c>
      <c r="BI176" s="2114" t="s">
        <v>66</v>
      </c>
      <c r="BJ176" s="2609">
        <v>46022</v>
      </c>
      <c r="BK176" s="2114" t="s">
        <v>66</v>
      </c>
      <c r="BL176" s="758">
        <v>42.92</v>
      </c>
      <c r="BM176" s="758"/>
      <c r="BN176" s="1264"/>
      <c r="BO176" s="2609">
        <v>46023</v>
      </c>
      <c r="BP176" s="2114" t="s">
        <v>66</v>
      </c>
      <c r="BQ176" s="2609">
        <v>46203</v>
      </c>
      <c r="BR176" s="2114" t="s">
        <v>66</v>
      </c>
      <c r="BS176" s="758">
        <v>45.25</v>
      </c>
      <c r="BT176" s="758"/>
      <c r="BU176" s="1264"/>
      <c r="BV176" s="2609">
        <v>46204</v>
      </c>
      <c r="BW176" s="2114" t="s">
        <v>66</v>
      </c>
      <c r="BX176" s="2609">
        <v>46387</v>
      </c>
      <c r="BY176" s="2114" t="s">
        <v>66</v>
      </c>
      <c r="BZ176" s="758">
        <v>45.25</v>
      </c>
      <c r="CA176" s="758"/>
      <c r="CB176" s="1264"/>
      <c r="CC176" s="2609">
        <v>46388</v>
      </c>
      <c r="CD176" s="2114" t="s">
        <v>66</v>
      </c>
      <c r="CE176" s="2609">
        <v>46568</v>
      </c>
      <c r="CF176" s="2114" t="s">
        <v>66</v>
      </c>
      <c r="CG176" s="758">
        <v>46.11</v>
      </c>
      <c r="CH176" s="758"/>
      <c r="CI176" s="1264"/>
      <c r="CJ176" s="2609">
        <v>46569</v>
      </c>
      <c r="CK176" s="2114" t="s">
        <v>66</v>
      </c>
      <c r="CL176" s="2609">
        <v>46752</v>
      </c>
      <c r="CM176" s="2114" t="s">
        <v>66</v>
      </c>
      <c r="CN176" s="1445"/>
      <c r="CO17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76" s="1649">
        <f>STRCHECKDATE(V177:CN177)</f>
      </c>
      <c r="CQ176" s="1631"/>
      <c r="CR176" s="1631" t="str">
        <f>IF(T176="","",T176)</f>
        <v>Тариф по водоснабжению без НДС</v>
      </c>
      <c r="CS176" s="1631"/>
      <c r="CT176" s="1631"/>
      <c r="CU176" s="1642">
        <v>0</v>
      </c>
    </row>
    <row s="1857" customFormat="1" customHeight="1" ht="14.25">
      <c r="A177" s="1370"/>
      <c r="B177" s="1370"/>
      <c r="C177" s="1370"/>
      <c r="D177" s="1370"/>
      <c r="E177" s="2266"/>
      <c r="F177" s="2266" t="s">
        <v>157</v>
      </c>
      <c r="G177" s="2266"/>
      <c r="H177" s="2266"/>
      <c r="I177" s="2293"/>
      <c r="J177" s="2293"/>
      <c r="K177" s="2263"/>
      <c r="L177" s="1376"/>
      <c r="M177" s="1783"/>
      <c r="N177" s="1783"/>
      <c r="O177" s="1783"/>
      <c r="P177" s="2381"/>
      <c r="Q177" s="2381"/>
      <c r="R177" s="364"/>
      <c r="S177" s="2520"/>
      <c r="T177" s="307"/>
      <c r="U177" s="307"/>
      <c r="V177" s="332"/>
      <c r="W177" s="332"/>
      <c r="X177" s="335" t="str">
        <f>Y176&amp;"-"&amp;AA176</f>
        <v>-</v>
      </c>
      <c r="Y177" s="2316"/>
      <c r="Z177" s="2114"/>
      <c r="AA177" s="2316"/>
      <c r="AB177" s="2114"/>
      <c r="AC177" s="332"/>
      <c r="AD177" s="332"/>
      <c r="AE177" s="335" t="str">
        <f>AF176&amp;"-"&amp;AH176</f>
        <v>44896-45291</v>
      </c>
      <c r="AF177" s="2316"/>
      <c r="AG177" s="2114"/>
      <c r="AH177" s="2295"/>
      <c r="AI177" s="2114"/>
      <c r="AJ177" s="332"/>
      <c r="AK177" s="332"/>
      <c r="AL177" s="335" t="str">
        <f>AM176&amp;"-"&amp;AO176</f>
        <v>45292-45473</v>
      </c>
      <c r="AM177" s="2316"/>
      <c r="AN177" s="2114"/>
      <c r="AO177" s="2316"/>
      <c r="AP177" s="2114"/>
      <c r="AQ177" s="332"/>
      <c r="AR177" s="332"/>
      <c r="AS177" s="335" t="str">
        <f>AT176&amp;"-"&amp;AV176</f>
        <v>45474-45657</v>
      </c>
      <c r="AT177" s="2316"/>
      <c r="AU177" s="2114"/>
      <c r="AV177" s="2316"/>
      <c r="AW177" s="2114"/>
      <c r="AX177" s="332"/>
      <c r="AY177" s="332"/>
      <c r="AZ177" s="335" t="str">
        <f>BA176&amp;"-"&amp;BC176</f>
        <v>45658-45838</v>
      </c>
      <c r="BA177" s="2316"/>
      <c r="BB177" s="2114"/>
      <c r="BC177" s="2316"/>
      <c r="BD177" s="2114"/>
      <c r="BE177" s="332"/>
      <c r="BF177" s="332"/>
      <c r="BG177" s="335" t="str">
        <f>BH176&amp;"-"&amp;BJ176</f>
        <v>45839-46022</v>
      </c>
      <c r="BH177" s="2316"/>
      <c r="BI177" s="2114"/>
      <c r="BJ177" s="2316"/>
      <c r="BK177" s="2114"/>
      <c r="BL177" s="332"/>
      <c r="BM177" s="332"/>
      <c r="BN177" s="335" t="str">
        <f>BO176&amp;"-"&amp;BQ176</f>
        <v>46023-46203</v>
      </c>
      <c r="BO177" s="2316"/>
      <c r="BP177" s="2114"/>
      <c r="BQ177" s="2316"/>
      <c r="BR177" s="2114"/>
      <c r="BS177" s="332"/>
      <c r="BT177" s="332"/>
      <c r="BU177" s="335" t="str">
        <f>BV176&amp;"-"&amp;BX176</f>
        <v>46204-46387</v>
      </c>
      <c r="BV177" s="2316"/>
      <c r="BW177" s="2114"/>
      <c r="BX177" s="2316"/>
      <c r="BY177" s="2114"/>
      <c r="BZ177" s="332"/>
      <c r="CA177" s="332"/>
      <c r="CB177" s="335" t="str">
        <f>CC176&amp;"-"&amp;CE176</f>
        <v>46388-46568</v>
      </c>
      <c r="CC177" s="2316"/>
      <c r="CD177" s="2114"/>
      <c r="CE177" s="2316"/>
      <c r="CF177" s="2114"/>
      <c r="CG177" s="332"/>
      <c r="CH177" s="332"/>
      <c r="CI177" s="335" t="str">
        <f>CJ176&amp;"-"&amp;CL176</f>
        <v>46569-46752</v>
      </c>
      <c r="CJ177" s="2316"/>
      <c r="CK177" s="2114"/>
      <c r="CL177" s="2316"/>
      <c r="CM177" s="2114"/>
      <c r="CN177" s="1446"/>
      <c r="CO177" s="2356"/>
      <c r="CP177" s="1649"/>
      <c r="CQ177" s="1631"/>
      <c r="CR177" s="1631" t="str">
        <f>IF(T177="","",T177)</f>
        <v/>
      </c>
      <c r="CS177" s="1631"/>
      <c r="CT177" s="1631"/>
      <c r="CU177" s="1642">
        <v>0</v>
      </c>
    </row>
    <row s="1857" customFormat="1" customHeight="1" ht="21">
      <c r="A178" s="1370"/>
      <c r="B178" s="1370"/>
      <c r="C178" s="1370"/>
      <c r="D178" s="1370"/>
      <c r="E178" s="2266"/>
      <c r="F178" s="2266" t="s">
        <v>157</v>
      </c>
      <c r="G178" s="2266"/>
      <c r="H178" s="2266"/>
      <c r="I178" s="2293"/>
      <c r="J178" s="2263"/>
      <c r="K178" s="1370"/>
      <c r="L178" s="1376"/>
      <c r="M178" s="1783"/>
      <c r="N178" s="1783"/>
      <c r="O178" s="1783"/>
      <c r="P178" s="2381"/>
      <c r="Q178" s="2381"/>
      <c r="R178" s="363"/>
      <c r="S178" s="3717"/>
      <c r="T178" s="3718" t="s">
        <v>646</v>
      </c>
      <c r="U178" s="3719"/>
      <c r="V178" s="3720"/>
      <c r="W178" s="3721"/>
      <c r="X178" s="3722"/>
      <c r="Y178" s="3723"/>
      <c r="Z178" s="3724"/>
      <c r="AA178" s="3725"/>
      <c r="AB178" s="3726"/>
      <c r="AC178" s="3727"/>
      <c r="AD178" s="3728"/>
      <c r="AE178" s="3729"/>
      <c r="AF178" s="3730"/>
      <c r="AG178" s="3731"/>
      <c r="AH178" s="3732"/>
      <c r="AI178" s="3733"/>
      <c r="AJ178" s="11346"/>
      <c r="AK178" s="11347"/>
      <c r="AL178" s="11348"/>
      <c r="AM178" s="11349"/>
      <c r="AN178" s="11350"/>
      <c r="AO178" s="11351"/>
      <c r="AP178" s="11352"/>
      <c r="AQ178" s="11353"/>
      <c r="AR178" s="11354"/>
      <c r="AS178" s="11355"/>
      <c r="AT178" s="11356"/>
      <c r="AU178" s="11357"/>
      <c r="AV178" s="11358"/>
      <c r="AW178" s="11359"/>
      <c r="AX178" s="11360"/>
      <c r="AY178" s="11361"/>
      <c r="AZ178" s="11362"/>
      <c r="BA178" s="11363"/>
      <c r="BB178" s="11364"/>
      <c r="BC178" s="11365"/>
      <c r="BD178" s="11366"/>
      <c r="BE178" s="11367"/>
      <c r="BF178" s="11368"/>
      <c r="BG178" s="11369"/>
      <c r="BH178" s="11370"/>
      <c r="BI178" s="11371"/>
      <c r="BJ178" s="11372"/>
      <c r="BK178" s="11373"/>
      <c r="BL178" s="11374"/>
      <c r="BM178" s="11375"/>
      <c r="BN178" s="11376"/>
      <c r="BO178" s="11377"/>
      <c r="BP178" s="11378"/>
      <c r="BQ178" s="11379"/>
      <c r="BR178" s="11380"/>
      <c r="BS178" s="11381"/>
      <c r="BT178" s="11382"/>
      <c r="BU178" s="11383"/>
      <c r="BV178" s="11384"/>
      <c r="BW178" s="11385"/>
      <c r="BX178" s="11386"/>
      <c r="BY178" s="11387"/>
      <c r="BZ178" s="11388"/>
      <c r="CA178" s="11389"/>
      <c r="CB178" s="11390"/>
      <c r="CC178" s="11391"/>
      <c r="CD178" s="11392"/>
      <c r="CE178" s="11393"/>
      <c r="CF178" s="11394"/>
      <c r="CG178" s="11395"/>
      <c r="CH178" s="11396"/>
      <c r="CI178" s="11397"/>
      <c r="CJ178" s="11398"/>
      <c r="CK178" s="11399"/>
      <c r="CL178" s="11400"/>
      <c r="CM178" s="12733"/>
      <c r="CN178" s="3741"/>
      <c r="CO178" s="1265" t="s">
        <v>647</v>
      </c>
      <c r="CP178" s="1649"/>
      <c r="CQ178" s="1631"/>
      <c r="CR178" s="1631" t="str">
        <f>IF(T178="","",T178)</f>
        <v>Добавить значение признака дифференциации</v>
      </c>
      <c r="CS178" s="1631"/>
      <c r="CT178" s="1631"/>
      <c r="CU178" s="1642">
        <v>0</v>
      </c>
    </row>
    <row s="1857" customFormat="1" customHeight="1" ht="21">
      <c r="A179" s="1370"/>
      <c r="B179" s="1370"/>
      <c r="C179" s="1370"/>
      <c r="D179" s="1370"/>
      <c r="E179" s="2266"/>
      <c r="F179" s="2266" t="s">
        <v>157</v>
      </c>
      <c r="G179" s="2266"/>
      <c r="H179" s="2266"/>
      <c r="I179" s="2263"/>
      <c r="J179" s="1370"/>
      <c r="K179" s="1370"/>
      <c r="L179" s="1376"/>
      <c r="M179" s="1783"/>
      <c r="N179" s="1783"/>
      <c r="O179" s="1783"/>
      <c r="P179" s="2381"/>
      <c r="Q179" s="2381"/>
      <c r="R179" s="363"/>
      <c r="S179" s="3742"/>
      <c r="T179" s="3743" t="s">
        <v>575</v>
      </c>
      <c r="U179" s="3744"/>
      <c r="V179" s="3745"/>
      <c r="W179" s="3746"/>
      <c r="X179" s="3747"/>
      <c r="Y179" s="3748"/>
      <c r="Z179" s="3749"/>
      <c r="AA179" s="3750"/>
      <c r="AB179" s="3751"/>
      <c r="AC179" s="3752"/>
      <c r="AD179" s="3753"/>
      <c r="AE179" s="3754"/>
      <c r="AF179" s="3755"/>
      <c r="AG179" s="3756"/>
      <c r="AH179" s="3757"/>
      <c r="AI179" s="3758"/>
      <c r="AJ179" s="11402"/>
      <c r="AK179" s="11403"/>
      <c r="AL179" s="11404"/>
      <c r="AM179" s="11405"/>
      <c r="AN179" s="11406"/>
      <c r="AO179" s="11407"/>
      <c r="AP179" s="11408"/>
      <c r="AQ179" s="11409"/>
      <c r="AR179" s="11410"/>
      <c r="AS179" s="11411"/>
      <c r="AT179" s="11412"/>
      <c r="AU179" s="11413"/>
      <c r="AV179" s="11414"/>
      <c r="AW179" s="11415"/>
      <c r="AX179" s="11416"/>
      <c r="AY179" s="11417"/>
      <c r="AZ179" s="11418"/>
      <c r="BA179" s="11419"/>
      <c r="BB179" s="11420"/>
      <c r="BC179" s="11421"/>
      <c r="BD179" s="11422"/>
      <c r="BE179" s="11423"/>
      <c r="BF179" s="11424"/>
      <c r="BG179" s="11425"/>
      <c r="BH179" s="11426"/>
      <c r="BI179" s="11427"/>
      <c r="BJ179" s="11428"/>
      <c r="BK179" s="11429"/>
      <c r="BL179" s="11430"/>
      <c r="BM179" s="11431"/>
      <c r="BN179" s="11432"/>
      <c r="BO179" s="11433"/>
      <c r="BP179" s="11434"/>
      <c r="BQ179" s="11435"/>
      <c r="BR179" s="11436"/>
      <c r="BS179" s="11437"/>
      <c r="BT179" s="11438"/>
      <c r="BU179" s="11439"/>
      <c r="BV179" s="11440"/>
      <c r="BW179" s="11441"/>
      <c r="BX179" s="11442"/>
      <c r="BY179" s="11443"/>
      <c r="BZ179" s="11444"/>
      <c r="CA179" s="11445"/>
      <c r="CB179" s="11446"/>
      <c r="CC179" s="11447"/>
      <c r="CD179" s="11448"/>
      <c r="CE179" s="11449"/>
      <c r="CF179" s="11450"/>
      <c r="CG179" s="11451"/>
      <c r="CH179" s="11452"/>
      <c r="CI179" s="11453"/>
      <c r="CJ179" s="11454"/>
      <c r="CK179" s="11455"/>
      <c r="CL179" s="11456"/>
      <c r="CM179" s="12734"/>
      <c r="CN179" s="3766"/>
      <c r="CO179" s="3767"/>
      <c r="CP179" s="1649"/>
      <c r="CQ179" s="1631"/>
      <c r="CR179" s="1631" t="str">
        <f>IF(T179="","",T179)</f>
        <v>Добавить группу потребителей</v>
      </c>
      <c r="CS179" s="1631"/>
      <c r="CT179" s="1631"/>
      <c r="CU179" s="1642">
        <v>0</v>
      </c>
    </row>
    <row s="1857" customFormat="1" customHeight="1" ht="14.25">
      <c r="A180" s="1370"/>
      <c r="B180" s="1370"/>
      <c r="C180" s="1370"/>
      <c r="D180" s="1370"/>
      <c r="E180" s="2266"/>
      <c r="F180" s="2266" t="s">
        <v>157</v>
      </c>
      <c r="G180" s="2266"/>
      <c r="H180" s="2265"/>
      <c r="I180" s="1370"/>
      <c r="J180" s="1370"/>
      <c r="K180" s="1370"/>
      <c r="L180" s="1376"/>
      <c r="M180" s="1372"/>
      <c r="N180" s="1372"/>
      <c r="O180" s="1373"/>
      <c r="P180" s="1830"/>
      <c r="Q180" s="382"/>
      <c r="R180" s="362"/>
      <c r="S180" s="3768"/>
      <c r="T180" s="3769" t="s">
        <v>648</v>
      </c>
      <c r="U180" s="3770"/>
      <c r="V180" s="3771"/>
      <c r="W180" s="3772"/>
      <c r="X180" s="3773"/>
      <c r="Y180" s="3774"/>
      <c r="Z180" s="3775"/>
      <c r="AA180" s="3776"/>
      <c r="AB180" s="3777"/>
      <c r="AC180" s="3778"/>
      <c r="AD180" s="3779"/>
      <c r="AE180" s="3780"/>
      <c r="AF180" s="3781"/>
      <c r="AG180" s="3782"/>
      <c r="AH180" s="3783"/>
      <c r="AI180" s="3784"/>
      <c r="AJ180" s="11458"/>
      <c r="AK180" s="11459"/>
      <c r="AL180" s="11460"/>
      <c r="AM180" s="11461"/>
      <c r="AN180" s="11462"/>
      <c r="AO180" s="11463"/>
      <c r="AP180" s="11464"/>
      <c r="AQ180" s="11465"/>
      <c r="AR180" s="11466"/>
      <c r="AS180" s="11467"/>
      <c r="AT180" s="11468"/>
      <c r="AU180" s="11469"/>
      <c r="AV180" s="11470"/>
      <c r="AW180" s="11471"/>
      <c r="AX180" s="11472"/>
      <c r="AY180" s="11473"/>
      <c r="AZ180" s="11474"/>
      <c r="BA180" s="11475"/>
      <c r="BB180" s="11476"/>
      <c r="BC180" s="11477"/>
      <c r="BD180" s="11478"/>
      <c r="BE180" s="11479"/>
      <c r="BF180" s="11480"/>
      <c r="BG180" s="11481"/>
      <c r="BH180" s="11482"/>
      <c r="BI180" s="11483"/>
      <c r="BJ180" s="11484"/>
      <c r="BK180" s="11485"/>
      <c r="BL180" s="11486"/>
      <c r="BM180" s="11487"/>
      <c r="BN180" s="11488"/>
      <c r="BO180" s="11489"/>
      <c r="BP180" s="11490"/>
      <c r="BQ180" s="11491"/>
      <c r="BR180" s="11492"/>
      <c r="BS180" s="11493"/>
      <c r="BT180" s="11494"/>
      <c r="BU180" s="11495"/>
      <c r="BV180" s="11496"/>
      <c r="BW180" s="11497"/>
      <c r="BX180" s="11498"/>
      <c r="BY180" s="11499"/>
      <c r="BZ180" s="11500"/>
      <c r="CA180" s="11501"/>
      <c r="CB180" s="11502"/>
      <c r="CC180" s="11503"/>
      <c r="CD180" s="11504"/>
      <c r="CE180" s="11505"/>
      <c r="CF180" s="11506"/>
      <c r="CG180" s="11507"/>
      <c r="CH180" s="11508"/>
      <c r="CI180" s="11509"/>
      <c r="CJ180" s="11510"/>
      <c r="CK180" s="11511"/>
      <c r="CL180" s="11512"/>
      <c r="CM180" s="12735"/>
      <c r="CN180" s="3792"/>
      <c r="CO180" s="3793"/>
      <c r="CP180" s="1649"/>
      <c r="CQ180" s="1631"/>
      <c r="CR180" s="1631" t="str">
        <f>IF(T180="","",T180)</f>
        <v>Добавить наименование признака дифференциации</v>
      </c>
      <c r="CS180" s="1631"/>
      <c r="CT180" s="1631"/>
      <c r="CU180" s="1642">
        <v>0</v>
      </c>
    </row>
    <row s="629" customFormat="1" customHeight="1" ht="14.25">
      <c r="A181" s="1350"/>
      <c r="B181" s="1350"/>
      <c r="C181" s="1350"/>
      <c r="D181" s="1350"/>
      <c r="E181" s="2266"/>
      <c r="F181" s="2265" t="s">
        <v>157</v>
      </c>
      <c r="G181" s="1350"/>
      <c r="H181" s="1350"/>
      <c r="I181" s="1350"/>
      <c r="J181" s="1350"/>
      <c r="K181" s="1350"/>
      <c r="L181" s="1552"/>
      <c r="M181" s="1328"/>
      <c r="N181" s="1328"/>
      <c r="O181" s="1649"/>
      <c r="P181" s="1323"/>
      <c r="Q181" s="1351"/>
      <c r="R181" s="1323"/>
      <c r="S181" s="1329"/>
      <c r="T181" s="1332" t="s">
        <v>316</v>
      </c>
      <c r="U181" s="1331"/>
      <c r="V181" s="1331"/>
      <c r="W181" s="1331"/>
      <c r="X181" s="1331"/>
      <c r="Y181" s="1331"/>
      <c r="Z181" s="1331"/>
      <c r="AA181" s="1331"/>
      <c r="AB181" s="1331"/>
      <c r="AC181" s="1331"/>
      <c r="AD181" s="1331"/>
      <c r="AE181" s="1331"/>
      <c r="AF181" s="1331"/>
      <c r="AG181" s="1331"/>
      <c r="AH181" s="1331"/>
      <c r="AI181" s="1331"/>
      <c r="AJ181" s="1331"/>
      <c r="AK181" s="1331"/>
      <c r="AL181" s="1331"/>
      <c r="AM181" s="1331"/>
      <c r="AN181" s="1331"/>
      <c r="AO181" s="1331"/>
      <c r="AP181" s="1331"/>
      <c r="AQ181" s="1331"/>
      <c r="AR181" s="1331"/>
      <c r="AS181" s="1331"/>
      <c r="AT181" s="1331"/>
      <c r="AU181" s="1331"/>
      <c r="AV181" s="1331"/>
      <c r="AW181" s="1331"/>
      <c r="AX181" s="1331"/>
      <c r="AY181" s="1331"/>
      <c r="AZ181" s="1331"/>
      <c r="BA181" s="1331"/>
      <c r="BB181" s="1331"/>
      <c r="BC181" s="1331"/>
      <c r="BD181" s="1331"/>
      <c r="BE181" s="1331"/>
      <c r="BF181" s="1331"/>
      <c r="BG181" s="1331"/>
      <c r="BH181" s="1331"/>
      <c r="BI181" s="1331"/>
      <c r="BJ181" s="1331"/>
      <c r="BK181" s="1331"/>
      <c r="BL181" s="1331"/>
      <c r="BM181" s="1331"/>
      <c r="BN181" s="1331"/>
      <c r="BO181" s="1331"/>
      <c r="BP181" s="1331"/>
      <c r="BQ181" s="1331"/>
      <c r="BR181" s="1331"/>
      <c r="BS181" s="1331"/>
      <c r="BT181" s="1331"/>
      <c r="BU181" s="1331"/>
      <c r="BV181" s="1331"/>
      <c r="BW181" s="1331"/>
      <c r="BX181" s="1331"/>
      <c r="BY181" s="1331"/>
      <c r="BZ181" s="1331"/>
      <c r="CA181" s="1331"/>
      <c r="CB181" s="1331"/>
      <c r="CC181" s="1331"/>
      <c r="CD181" s="1331"/>
      <c r="CE181" s="1331"/>
      <c r="CF181" s="1331"/>
      <c r="CG181" s="1331"/>
      <c r="CH181" s="1331"/>
      <c r="CI181" s="1331"/>
      <c r="CJ181" s="1331"/>
      <c r="CK181" s="1331"/>
      <c r="CL181" s="1331"/>
      <c r="CM181" s="1331"/>
      <c r="CN181" s="1331"/>
      <c r="CO181" s="1331"/>
      <c r="CP181" s="1649"/>
      <c r="CQ181" s="1631"/>
      <c r="CR181" s="1631" t="str">
        <f>IF(T181="","",T181)</f>
        <v>Добавить централизованную систему для дифференциации</v>
      </c>
      <c r="CS181" s="1631"/>
      <c r="CT181" s="1631"/>
      <c r="CU181" s="1649">
        <v>0</v>
      </c>
    </row>
    <row s="1857" customFormat="1" customHeight="1" ht="23.25">
      <c r="A182" s="1370"/>
      <c r="B182" s="1370" t="s">
        <v>363</v>
      </c>
      <c r="C182" s="1370"/>
      <c r="D182" s="1370"/>
      <c r="E182" s="2266"/>
      <c r="F182" s="2265" t="s">
        <v>167</v>
      </c>
      <c r="G182" s="1370"/>
      <c r="H182" s="1370"/>
      <c r="I182" s="1370"/>
      <c r="J182" s="1370"/>
      <c r="K182" s="1370"/>
      <c r="L182" s="1376"/>
      <c r="M182" s="1372"/>
      <c r="N182" s="1372"/>
      <c r="O182" s="1372"/>
      <c r="P182" s="2132"/>
      <c r="Q182" s="359"/>
      <c r="R182" s="360"/>
      <c r="S182" s="2280" t="str">
        <f>INDEX(PT_DIFFERENTIATION_NUM_TER,MATCH(B182,PT_DIFFERENTIATION_TER_ID,0))</f>
        <v>1.15</v>
      </c>
      <c r="T182" s="1529" t="s">
        <v>560</v>
      </c>
      <c r="U182" s="307"/>
      <c r="V182" s="2249"/>
      <c r="W182" s="2250"/>
      <c r="X182" s="2250"/>
      <c r="Y182" s="2250"/>
      <c r="Z182" s="2250"/>
      <c r="AA182" s="2250"/>
      <c r="AB182" s="2251"/>
      <c r="AC182" s="2249" t="str">
        <f>INDEX(PT_DIFFERENTIATION_TER,MATCH(B182,PT_DIFFERENTIATION_TER_ID,0))</f>
        <v>Территория 15</v>
      </c>
      <c r="AD182" s="2250"/>
      <c r="AE182" s="2250"/>
      <c r="AF182" s="2250"/>
      <c r="AG182" s="2250"/>
      <c r="AH182" s="2250"/>
      <c r="AI182" s="2250"/>
      <c r="AJ182" s="2249"/>
      <c r="AK182" s="2250"/>
      <c r="AL182" s="2250"/>
      <c r="AM182" s="2250"/>
      <c r="AN182" s="2250"/>
      <c r="AO182" s="2250"/>
      <c r="AP182" s="2251"/>
      <c r="AQ182" s="2249"/>
      <c r="AR182" s="2250"/>
      <c r="AS182" s="2250"/>
      <c r="AT182" s="2250"/>
      <c r="AU182" s="2250"/>
      <c r="AV182" s="2250"/>
      <c r="AW182" s="2251"/>
      <c r="AX182" s="2249"/>
      <c r="AY182" s="2250"/>
      <c r="AZ182" s="2250"/>
      <c r="BA182" s="2250"/>
      <c r="BB182" s="2250"/>
      <c r="BC182" s="2250"/>
      <c r="BD182" s="2251"/>
      <c r="BE182" s="2249"/>
      <c r="BF182" s="2250"/>
      <c r="BG182" s="2250"/>
      <c r="BH182" s="2250"/>
      <c r="BI182" s="2250"/>
      <c r="BJ182" s="2250"/>
      <c r="BK182" s="2251"/>
      <c r="BL182" s="2249"/>
      <c r="BM182" s="2250"/>
      <c r="BN182" s="2250"/>
      <c r="BO182" s="2250"/>
      <c r="BP182" s="2250"/>
      <c r="BQ182" s="2250"/>
      <c r="BR182" s="2251"/>
      <c r="BS182" s="2249"/>
      <c r="BT182" s="2250"/>
      <c r="BU182" s="2250"/>
      <c r="BV182" s="2250"/>
      <c r="BW182" s="2250"/>
      <c r="BX182" s="2250"/>
      <c r="BY182" s="2251"/>
      <c r="BZ182" s="2249"/>
      <c r="CA182" s="2250"/>
      <c r="CB182" s="2250"/>
      <c r="CC182" s="2250"/>
      <c r="CD182" s="2250"/>
      <c r="CE182" s="2250"/>
      <c r="CF182" s="2251"/>
      <c r="CG182" s="2249"/>
      <c r="CH182" s="2250"/>
      <c r="CI182" s="2250"/>
      <c r="CJ182" s="2250"/>
      <c r="CK182" s="2250"/>
      <c r="CL182" s="2250"/>
      <c r="CM182" s="4492"/>
      <c r="CN182" s="2251"/>
      <c r="CO182" s="1265" t="s">
        <v>561</v>
      </c>
      <c r="CP182" s="1649"/>
      <c r="CQ182" s="1631"/>
      <c r="CR182" s="1631" t="str">
        <f>IF(T182="","",T182)</f>
        <v>Территория действия тарифа</v>
      </c>
      <c r="CS182" s="1631"/>
      <c r="CT182" s="1631"/>
      <c r="CU182" s="1642">
        <v>0</v>
      </c>
    </row>
    <row s="1857" customFormat="1" customHeight="1" ht="23.25">
      <c r="A183" s="1370"/>
      <c r="B183" s="1370"/>
      <c r="C183" s="1370" t="s">
        <v>364</v>
      </c>
      <c r="D183" s="1370"/>
      <c r="E183" s="2266"/>
      <c r="F183" s="2266" t="s">
        <v>162</v>
      </c>
      <c r="G183" s="2265">
        <v>1</v>
      </c>
      <c r="H183" s="1370"/>
      <c r="I183" s="1370"/>
      <c r="J183" s="1370"/>
      <c r="K183" s="1370"/>
      <c r="L183" s="1376"/>
      <c r="M183" s="1372"/>
      <c r="N183" s="1372"/>
      <c r="O183" s="1372"/>
      <c r="P183" s="361"/>
      <c r="Q183" s="359"/>
      <c r="R183" s="360"/>
      <c r="S183" s="2280" t="str">
        <f>INDEX(PT_DIFFERENTIATION_NUM_CS,MATCH(C183,PT_DIFFERENTIATION_CS_ID,0))</f>
        <v>1.15.1</v>
      </c>
      <c r="T183" s="316" t="s">
        <v>641</v>
      </c>
      <c r="U183" s="307"/>
      <c r="V183" s="2249"/>
      <c r="W183" s="2250"/>
      <c r="X183" s="2250"/>
      <c r="Y183" s="2250"/>
      <c r="Z183" s="2250"/>
      <c r="AA183" s="2250"/>
      <c r="AB183" s="2251"/>
      <c r="AC183" s="2249" t="str">
        <f>INDEX(PT_DIFFERENTIATION_CS,MATCH(C183,PT_DIFFERENTIATION_CS_ID,0))</f>
        <v>Ракитянский район</v>
      </c>
      <c r="AD183" s="2250"/>
      <c r="AE183" s="2250"/>
      <c r="AF183" s="2250"/>
      <c r="AG183" s="2250"/>
      <c r="AH183" s="2250"/>
      <c r="AI183" s="2250"/>
      <c r="AJ183" s="2249"/>
      <c r="AK183" s="2250"/>
      <c r="AL183" s="2250"/>
      <c r="AM183" s="2250"/>
      <c r="AN183" s="2250"/>
      <c r="AO183" s="2250"/>
      <c r="AP183" s="2251"/>
      <c r="AQ183" s="2249"/>
      <c r="AR183" s="2250"/>
      <c r="AS183" s="2250"/>
      <c r="AT183" s="2250"/>
      <c r="AU183" s="2250"/>
      <c r="AV183" s="2250"/>
      <c r="AW183" s="2251"/>
      <c r="AX183" s="2249"/>
      <c r="AY183" s="2250"/>
      <c r="AZ183" s="2250"/>
      <c r="BA183" s="2250"/>
      <c r="BB183" s="2250"/>
      <c r="BC183" s="2250"/>
      <c r="BD183" s="2251"/>
      <c r="BE183" s="2249"/>
      <c r="BF183" s="2250"/>
      <c r="BG183" s="2250"/>
      <c r="BH183" s="2250"/>
      <c r="BI183" s="2250"/>
      <c r="BJ183" s="2250"/>
      <c r="BK183" s="2251"/>
      <c r="BL183" s="2249"/>
      <c r="BM183" s="2250"/>
      <c r="BN183" s="2250"/>
      <c r="BO183" s="2250"/>
      <c r="BP183" s="2250"/>
      <c r="BQ183" s="2250"/>
      <c r="BR183" s="2251"/>
      <c r="BS183" s="2249"/>
      <c r="BT183" s="2250"/>
      <c r="BU183" s="2250"/>
      <c r="BV183" s="2250"/>
      <c r="BW183" s="2250"/>
      <c r="BX183" s="2250"/>
      <c r="BY183" s="2251"/>
      <c r="BZ183" s="2249"/>
      <c r="CA183" s="2250"/>
      <c r="CB183" s="2250"/>
      <c r="CC183" s="2250"/>
      <c r="CD183" s="2250"/>
      <c r="CE183" s="2250"/>
      <c r="CF183" s="2251"/>
      <c r="CG183" s="2249"/>
      <c r="CH183" s="2250"/>
      <c r="CI183" s="2250"/>
      <c r="CJ183" s="2250"/>
      <c r="CK183" s="2250"/>
      <c r="CL183" s="2250"/>
      <c r="CM183" s="4492"/>
      <c r="CN183" s="2251"/>
      <c r="CO183" s="1265" t="s">
        <v>642</v>
      </c>
      <c r="CP183" s="1649"/>
      <c r="CQ183" s="1631"/>
      <c r="CR183" s="1631" t="str">
        <f>IF(T183="","",T183)</f>
        <v>Наименование централизованной системы холодного водоснабжения</v>
      </c>
      <c r="CS183" s="1631"/>
      <c r="CT183" s="1631"/>
      <c r="CU183" s="1642">
        <v>0</v>
      </c>
    </row>
    <row s="1857" customFormat="1" customHeight="1" ht="23.25">
      <c r="A184" s="1370"/>
      <c r="B184" s="1370"/>
      <c r="C184" s="1370"/>
      <c r="D184" s="1370"/>
      <c r="E184" s="2266"/>
      <c r="F184" s="2266" t="s">
        <v>162</v>
      </c>
      <c r="G184" s="2266"/>
      <c r="H184" s="2266"/>
      <c r="I184" s="2263" t="str">
        <f>S183&amp;".1"</f>
        <v>1.15.1.1</v>
      </c>
      <c r="J184" s="1370"/>
      <c r="K184" s="1370"/>
      <c r="L184" s="1376"/>
      <c r="M184" s="1783"/>
      <c r="N184" s="1783"/>
      <c r="O184" s="1783"/>
      <c r="P184" s="2381">
        <v>1</v>
      </c>
      <c r="Q184" s="2381"/>
      <c r="R184" s="363"/>
      <c r="S184" s="2280" t="str">
        <f>$I184</f>
        <v>1.15.1.1</v>
      </c>
      <c r="T184" s="292" t="s">
        <v>643</v>
      </c>
      <c r="U184" s="307"/>
      <c r="V184" s="2357"/>
      <c r="W184" s="2358"/>
      <c r="X184" s="2358"/>
      <c r="Y184" s="2358"/>
      <c r="Z184" s="2358"/>
      <c r="AA184" s="2358"/>
      <c r="AB184" s="2359"/>
      <c r="AC184" s="2360" t="s">
        <v>362</v>
      </c>
      <c r="AD184" s="2361"/>
      <c r="AE184" s="2361"/>
      <c r="AF184" s="2361"/>
      <c r="AG184" s="2361"/>
      <c r="AH184" s="2361"/>
      <c r="AI184" s="2361"/>
      <c r="AJ184" s="2357"/>
      <c r="AK184" s="2358"/>
      <c r="AL184" s="2358"/>
      <c r="AM184" s="2358"/>
      <c r="AN184" s="2358"/>
      <c r="AO184" s="2358"/>
      <c r="AP184" s="2359"/>
      <c r="AQ184" s="2357"/>
      <c r="AR184" s="2358"/>
      <c r="AS184" s="2358"/>
      <c r="AT184" s="2358"/>
      <c r="AU184" s="2358"/>
      <c r="AV184" s="2358"/>
      <c r="AW184" s="2359"/>
      <c r="AX184" s="2357"/>
      <c r="AY184" s="2358"/>
      <c r="AZ184" s="2358"/>
      <c r="BA184" s="2358"/>
      <c r="BB184" s="2358"/>
      <c r="BC184" s="2358"/>
      <c r="BD184" s="2359"/>
      <c r="BE184" s="2357"/>
      <c r="BF184" s="2358"/>
      <c r="BG184" s="2358"/>
      <c r="BH184" s="2358"/>
      <c r="BI184" s="2358"/>
      <c r="BJ184" s="2358"/>
      <c r="BK184" s="2359"/>
      <c r="BL184" s="2357"/>
      <c r="BM184" s="2358"/>
      <c r="BN184" s="2358"/>
      <c r="BO184" s="2358"/>
      <c r="BP184" s="2358"/>
      <c r="BQ184" s="2358"/>
      <c r="BR184" s="2359"/>
      <c r="BS184" s="2357"/>
      <c r="BT184" s="2358"/>
      <c r="BU184" s="2358"/>
      <c r="BV184" s="2358"/>
      <c r="BW184" s="2358"/>
      <c r="BX184" s="2358"/>
      <c r="BY184" s="2359"/>
      <c r="BZ184" s="2357"/>
      <c r="CA184" s="2358"/>
      <c r="CB184" s="2358"/>
      <c r="CC184" s="2358"/>
      <c r="CD184" s="2358"/>
      <c r="CE184" s="2358"/>
      <c r="CF184" s="2359"/>
      <c r="CG184" s="2357"/>
      <c r="CH184" s="2358"/>
      <c r="CI184" s="2358"/>
      <c r="CJ184" s="2358"/>
      <c r="CK184" s="2358"/>
      <c r="CL184" s="2358"/>
      <c r="CM184" s="4495"/>
      <c r="CN184" s="2362"/>
      <c r="CO184" s="1265" t="s">
        <v>644</v>
      </c>
      <c r="CP184" s="1649"/>
      <c r="CQ184" s="1631"/>
      <c r="CR184" s="1631" t="str">
        <f>IF(T184="","",T184)</f>
        <v>Наименование признака дифференциации</v>
      </c>
      <c r="CS184" s="1631"/>
      <c r="CT184" s="1631"/>
      <c r="CU184" s="1642">
        <v>0</v>
      </c>
    </row>
    <row s="1857" customFormat="1" customHeight="1" ht="23.25">
      <c r="A185" s="1370"/>
      <c r="B185" s="1370"/>
      <c r="C185" s="1370"/>
      <c r="D185" s="1370"/>
      <c r="E185" s="2266"/>
      <c r="F185" s="2266" t="s">
        <v>162</v>
      </c>
      <c r="G185" s="2266"/>
      <c r="H185" s="2266"/>
      <c r="I185" s="2293"/>
      <c r="J185" s="2263" t="str">
        <f>I184&amp;".1"</f>
        <v>1.15.1.1.1</v>
      </c>
      <c r="K185" s="1370"/>
      <c r="L185" s="1376" t="s">
        <v>569</v>
      </c>
      <c r="M185" s="1783"/>
      <c r="N185" s="1783"/>
      <c r="O185" s="1783"/>
      <c r="P185" s="2381"/>
      <c r="Q185" s="2381">
        <v>1</v>
      </c>
      <c r="R185" s="364"/>
      <c r="S185" s="2280" t="str">
        <f>$J185</f>
        <v>1.15.1.1.1</v>
      </c>
      <c r="T185" s="293" t="s">
        <v>570</v>
      </c>
      <c r="U185" s="307"/>
      <c r="V185" s="2252"/>
      <c r="W185" s="2253"/>
      <c r="X185" s="2253"/>
      <c r="Y185" s="2253"/>
      <c r="Z185" s="2253"/>
      <c r="AA185" s="2253"/>
      <c r="AB185" s="2254"/>
      <c r="AC185" s="2252" t="s">
        <v>656</v>
      </c>
      <c r="AD185" s="2253"/>
      <c r="AE185" s="2253"/>
      <c r="AF185" s="2253"/>
      <c r="AG185" s="2253"/>
      <c r="AH185" s="2253"/>
      <c r="AI185" s="2253"/>
      <c r="AJ185" s="2252"/>
      <c r="AK185" s="2253"/>
      <c r="AL185" s="2253"/>
      <c r="AM185" s="2253"/>
      <c r="AN185" s="2253"/>
      <c r="AO185" s="2253"/>
      <c r="AP185" s="2254"/>
      <c r="AQ185" s="2252"/>
      <c r="AR185" s="2253"/>
      <c r="AS185" s="2253"/>
      <c r="AT185" s="2253"/>
      <c r="AU185" s="2253"/>
      <c r="AV185" s="2253"/>
      <c r="AW185" s="2254"/>
      <c r="AX185" s="2252"/>
      <c r="AY185" s="2253"/>
      <c r="AZ185" s="2253"/>
      <c r="BA185" s="2253"/>
      <c r="BB185" s="2253"/>
      <c r="BC185" s="2253"/>
      <c r="BD185" s="2254"/>
      <c r="BE185" s="2252"/>
      <c r="BF185" s="2253"/>
      <c r="BG185" s="2253"/>
      <c r="BH185" s="2253"/>
      <c r="BI185" s="2253"/>
      <c r="BJ185" s="2253"/>
      <c r="BK185" s="2254"/>
      <c r="BL185" s="2252"/>
      <c r="BM185" s="2253"/>
      <c r="BN185" s="2253"/>
      <c r="BO185" s="2253"/>
      <c r="BP185" s="2253"/>
      <c r="BQ185" s="2253"/>
      <c r="BR185" s="2254"/>
      <c r="BS185" s="2252"/>
      <c r="BT185" s="2253"/>
      <c r="BU185" s="2253"/>
      <c r="BV185" s="2253"/>
      <c r="BW185" s="2253"/>
      <c r="BX185" s="2253"/>
      <c r="BY185" s="2254"/>
      <c r="BZ185" s="2252"/>
      <c r="CA185" s="2253"/>
      <c r="CB185" s="2253"/>
      <c r="CC185" s="2253"/>
      <c r="CD185" s="2253"/>
      <c r="CE185" s="2253"/>
      <c r="CF185" s="2254"/>
      <c r="CG185" s="2252"/>
      <c r="CH185" s="2253"/>
      <c r="CI185" s="2253"/>
      <c r="CJ185" s="2253"/>
      <c r="CK185" s="2253"/>
      <c r="CL185" s="2253"/>
      <c r="CM185" s="4498"/>
      <c r="CN185" s="2254"/>
      <c r="CO185" s="1314" t="s">
        <v>645</v>
      </c>
      <c r="CP185" s="1649"/>
      <c r="CQ185" s="1631"/>
      <c r="CR185" s="1631" t="str">
        <f>IF(T185="","",T185)</f>
        <v>Группа потребителей</v>
      </c>
      <c r="CS185" s="1631"/>
      <c r="CT185" s="1631"/>
      <c r="CU185" s="1642">
        <v>0</v>
      </c>
    </row>
    <row s="1857" customFormat="1" customHeight="1" ht="23.25">
      <c r="A186" s="1370"/>
      <c r="B186" s="1370"/>
      <c r="C186" s="1370"/>
      <c r="D186" s="1370"/>
      <c r="E186" s="2266"/>
      <c r="F186" s="2266" t="s">
        <v>162</v>
      </c>
      <c r="G186" s="2266"/>
      <c r="H186" s="2266"/>
      <c r="I186" s="2293"/>
      <c r="J186" s="2293"/>
      <c r="K186" s="2263" t="str">
        <f>J185&amp;".1"</f>
        <v>1.15.1.1.1.1</v>
      </c>
      <c r="L186" s="1376"/>
      <c r="M186" s="1783"/>
      <c r="N186" s="1783"/>
      <c r="O186" s="1783"/>
      <c r="P186" s="2381"/>
      <c r="Q186" s="2381"/>
      <c r="R186" s="364">
        <v>1</v>
      </c>
      <c r="S186" s="2280" t="str">
        <f>$K186</f>
        <v>1.15.1.1.1.1</v>
      </c>
      <c r="T186" s="1444" t="s">
        <v>657</v>
      </c>
      <c r="U186" s="307"/>
      <c r="V186" s="758"/>
      <c r="W186" s="758"/>
      <c r="X186" s="1264"/>
      <c r="Y186" s="2609"/>
      <c r="Z186" s="2114" t="s">
        <v>66</v>
      </c>
      <c r="AA186" s="2609"/>
      <c r="AB186" s="2114" t="s">
        <v>66</v>
      </c>
      <c r="AC186" s="758">
        <v>31.5</v>
      </c>
      <c r="AD186" s="758"/>
      <c r="AE186" s="1264"/>
      <c r="AF186" s="2609">
        <v>44896</v>
      </c>
      <c r="AG186" s="2114" t="s">
        <v>66</v>
      </c>
      <c r="AH186" s="2294">
        <v>45291</v>
      </c>
      <c r="AI186" s="2114" t="s">
        <v>66</v>
      </c>
      <c r="AJ186" s="758">
        <v>31.5</v>
      </c>
      <c r="AK186" s="758"/>
      <c r="AL186" s="1264"/>
      <c r="AM186" s="2609">
        <v>45292</v>
      </c>
      <c r="AN186" s="2114" t="s">
        <v>66</v>
      </c>
      <c r="AO186" s="2609">
        <v>45473</v>
      </c>
      <c r="AP186" s="2114" t="s">
        <v>66</v>
      </c>
      <c r="AQ186" s="758">
        <v>35.77</v>
      </c>
      <c r="AR186" s="758"/>
      <c r="AS186" s="1264"/>
      <c r="AT186" s="2609">
        <v>45474</v>
      </c>
      <c r="AU186" s="2114" t="s">
        <v>66</v>
      </c>
      <c r="AV186" s="2609">
        <v>45657</v>
      </c>
      <c r="AW186" s="2114" t="s">
        <v>66</v>
      </c>
      <c r="AX186" s="758">
        <v>35.77</v>
      </c>
      <c r="AY186" s="758"/>
      <c r="AZ186" s="1264"/>
      <c r="BA186" s="2609">
        <v>45658</v>
      </c>
      <c r="BB186" s="2114" t="s">
        <v>66</v>
      </c>
      <c r="BC186" s="2609">
        <v>45838</v>
      </c>
      <c r="BD186" s="2114" t="s">
        <v>66</v>
      </c>
      <c r="BE186" s="758">
        <v>68.59</v>
      </c>
      <c r="BF186" s="758"/>
      <c r="BG186" s="1264"/>
      <c r="BH186" s="2609">
        <v>45839</v>
      </c>
      <c r="BI186" s="2114" t="s">
        <v>66</v>
      </c>
      <c r="BJ186" s="2609">
        <v>46022</v>
      </c>
      <c r="BK186" s="2114" t="s">
        <v>66</v>
      </c>
      <c r="BL186" s="758">
        <v>34.15</v>
      </c>
      <c r="BM186" s="758"/>
      <c r="BN186" s="1264"/>
      <c r="BO186" s="2609">
        <v>46023</v>
      </c>
      <c r="BP186" s="2114" t="s">
        <v>66</v>
      </c>
      <c r="BQ186" s="2609">
        <v>46203</v>
      </c>
      <c r="BR186" s="2114" t="s">
        <v>66</v>
      </c>
      <c r="BS186" s="758">
        <v>36.67</v>
      </c>
      <c r="BT186" s="758"/>
      <c r="BU186" s="1264"/>
      <c r="BV186" s="2609">
        <v>46204</v>
      </c>
      <c r="BW186" s="2114" t="s">
        <v>66</v>
      </c>
      <c r="BX186" s="2609">
        <v>46387</v>
      </c>
      <c r="BY186" s="2114" t="s">
        <v>66</v>
      </c>
      <c r="BZ186" s="758">
        <v>36.67</v>
      </c>
      <c r="CA186" s="758"/>
      <c r="CB186" s="1264"/>
      <c r="CC186" s="2609">
        <v>46388</v>
      </c>
      <c r="CD186" s="2114" t="s">
        <v>66</v>
      </c>
      <c r="CE186" s="2609">
        <v>46568</v>
      </c>
      <c r="CF186" s="2114" t="s">
        <v>66</v>
      </c>
      <c r="CG186" s="758">
        <v>36.89</v>
      </c>
      <c r="CH186" s="758"/>
      <c r="CI186" s="1264"/>
      <c r="CJ186" s="2609">
        <v>46569</v>
      </c>
      <c r="CK186" s="2114" t="s">
        <v>66</v>
      </c>
      <c r="CL186" s="2609">
        <v>46752</v>
      </c>
      <c r="CM186" s="2114" t="s">
        <v>66</v>
      </c>
      <c r="CN186" s="1445"/>
      <c r="CO18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86" s="1649">
        <f>STRCHECKDATE(V187:CN187)</f>
      </c>
      <c r="CQ186" s="1631"/>
      <c r="CR186" s="1631" t="str">
        <f>IF(T186="","",T186)</f>
        <v>Тариф по водоснабжению без НДС</v>
      </c>
      <c r="CS186" s="1631"/>
      <c r="CT186" s="1631"/>
      <c r="CU186" s="1642">
        <v>0</v>
      </c>
    </row>
    <row s="1857" customFormat="1" customHeight="1" ht="14.25">
      <c r="A187" s="1370"/>
      <c r="B187" s="1370"/>
      <c r="C187" s="1370"/>
      <c r="D187" s="1370"/>
      <c r="E187" s="2266"/>
      <c r="F187" s="2266" t="s">
        <v>162</v>
      </c>
      <c r="G187" s="2266"/>
      <c r="H187" s="2266"/>
      <c r="I187" s="2293"/>
      <c r="J187" s="2293"/>
      <c r="K187" s="2263"/>
      <c r="L187" s="1376"/>
      <c r="M187" s="1783"/>
      <c r="N187" s="1783"/>
      <c r="O187" s="1783"/>
      <c r="P187" s="2381"/>
      <c r="Q187" s="2381"/>
      <c r="R187" s="364"/>
      <c r="S187" s="2520"/>
      <c r="T187" s="307"/>
      <c r="U187" s="307"/>
      <c r="V187" s="332"/>
      <c r="W187" s="332"/>
      <c r="X187" s="335" t="str">
        <f>Y186&amp;"-"&amp;AA186</f>
        <v>-</v>
      </c>
      <c r="Y187" s="2316"/>
      <c r="Z187" s="2114"/>
      <c r="AA187" s="2316"/>
      <c r="AB187" s="2114"/>
      <c r="AC187" s="332"/>
      <c r="AD187" s="332"/>
      <c r="AE187" s="335" t="str">
        <f>AF186&amp;"-"&amp;AH186</f>
        <v>44896-45291</v>
      </c>
      <c r="AF187" s="2316"/>
      <c r="AG187" s="2114"/>
      <c r="AH187" s="2295"/>
      <c r="AI187" s="2114"/>
      <c r="AJ187" s="332"/>
      <c r="AK187" s="332"/>
      <c r="AL187" s="335" t="str">
        <f>AM186&amp;"-"&amp;AO186</f>
        <v>45292-45473</v>
      </c>
      <c r="AM187" s="2316"/>
      <c r="AN187" s="2114"/>
      <c r="AO187" s="2316"/>
      <c r="AP187" s="2114"/>
      <c r="AQ187" s="332"/>
      <c r="AR187" s="332"/>
      <c r="AS187" s="335" t="str">
        <f>AT186&amp;"-"&amp;AV186</f>
        <v>45474-45657</v>
      </c>
      <c r="AT187" s="2316"/>
      <c r="AU187" s="2114"/>
      <c r="AV187" s="2316"/>
      <c r="AW187" s="2114"/>
      <c r="AX187" s="332"/>
      <c r="AY187" s="332"/>
      <c r="AZ187" s="335" t="str">
        <f>BA186&amp;"-"&amp;BC186</f>
        <v>45658-45838</v>
      </c>
      <c r="BA187" s="2316"/>
      <c r="BB187" s="2114"/>
      <c r="BC187" s="2316"/>
      <c r="BD187" s="2114"/>
      <c r="BE187" s="332"/>
      <c r="BF187" s="332"/>
      <c r="BG187" s="335" t="str">
        <f>BH186&amp;"-"&amp;BJ186</f>
        <v>45839-46022</v>
      </c>
      <c r="BH187" s="2316"/>
      <c r="BI187" s="2114"/>
      <c r="BJ187" s="2316"/>
      <c r="BK187" s="2114"/>
      <c r="BL187" s="332"/>
      <c r="BM187" s="332"/>
      <c r="BN187" s="335" t="str">
        <f>BO186&amp;"-"&amp;BQ186</f>
        <v>46023-46203</v>
      </c>
      <c r="BO187" s="2316"/>
      <c r="BP187" s="2114"/>
      <c r="BQ187" s="2316"/>
      <c r="BR187" s="2114"/>
      <c r="BS187" s="332"/>
      <c r="BT187" s="332"/>
      <c r="BU187" s="335" t="str">
        <f>BV186&amp;"-"&amp;BX186</f>
        <v>46204-46387</v>
      </c>
      <c r="BV187" s="2316"/>
      <c r="BW187" s="2114"/>
      <c r="BX187" s="2316"/>
      <c r="BY187" s="2114"/>
      <c r="BZ187" s="332"/>
      <c r="CA187" s="332"/>
      <c r="CB187" s="335" t="str">
        <f>CC186&amp;"-"&amp;CE186</f>
        <v>46388-46568</v>
      </c>
      <c r="CC187" s="2316"/>
      <c r="CD187" s="2114"/>
      <c r="CE187" s="2316"/>
      <c r="CF187" s="2114"/>
      <c r="CG187" s="332"/>
      <c r="CH187" s="332"/>
      <c r="CI187" s="335" t="str">
        <f>CJ186&amp;"-"&amp;CL186</f>
        <v>46569-46752</v>
      </c>
      <c r="CJ187" s="2316"/>
      <c r="CK187" s="2114"/>
      <c r="CL187" s="2316"/>
      <c r="CM187" s="2114"/>
      <c r="CN187" s="1446"/>
      <c r="CO187" s="2356"/>
      <c r="CP187" s="1649"/>
      <c r="CQ187" s="1631"/>
      <c r="CR187" s="1631" t="str">
        <f>IF(T187="","",T187)</f>
        <v/>
      </c>
      <c r="CS187" s="1631"/>
      <c r="CT187" s="1631"/>
      <c r="CU187" s="1642">
        <v>0</v>
      </c>
    </row>
    <row s="1857" customFormat="1" customHeight="1" ht="21">
      <c r="A188" s="1370"/>
      <c r="B188" s="1370"/>
      <c r="C188" s="1370"/>
      <c r="D188" s="1370"/>
      <c r="E188" s="2266"/>
      <c r="F188" s="2266" t="s">
        <v>162</v>
      </c>
      <c r="G188" s="2266"/>
      <c r="H188" s="2266"/>
      <c r="I188" s="2293"/>
      <c r="J188" s="2263"/>
      <c r="K188" s="1370"/>
      <c r="L188" s="1376"/>
      <c r="M188" s="1783"/>
      <c r="N188" s="1783"/>
      <c r="O188" s="1783"/>
      <c r="P188" s="2381"/>
      <c r="Q188" s="2381"/>
      <c r="R188" s="363"/>
      <c r="S188" s="3794"/>
      <c r="T188" s="3795" t="s">
        <v>646</v>
      </c>
      <c r="U188" s="3796"/>
      <c r="V188" s="3797"/>
      <c r="W188" s="3798"/>
      <c r="X188" s="3799"/>
      <c r="Y188" s="3800"/>
      <c r="Z188" s="3801"/>
      <c r="AA188" s="3802"/>
      <c r="AB188" s="3803"/>
      <c r="AC188" s="3804"/>
      <c r="AD188" s="3805"/>
      <c r="AE188" s="3806"/>
      <c r="AF188" s="3807"/>
      <c r="AG188" s="3808"/>
      <c r="AH188" s="3809"/>
      <c r="AI188" s="3810"/>
      <c r="AJ188" s="11514"/>
      <c r="AK188" s="11515"/>
      <c r="AL188" s="11516"/>
      <c r="AM188" s="11517"/>
      <c r="AN188" s="11518"/>
      <c r="AO188" s="11519"/>
      <c r="AP188" s="11520"/>
      <c r="AQ188" s="11521"/>
      <c r="AR188" s="11522"/>
      <c r="AS188" s="11523"/>
      <c r="AT188" s="11524"/>
      <c r="AU188" s="11525"/>
      <c r="AV188" s="11526"/>
      <c r="AW188" s="11527"/>
      <c r="AX188" s="11528"/>
      <c r="AY188" s="11529"/>
      <c r="AZ188" s="11530"/>
      <c r="BA188" s="11531"/>
      <c r="BB188" s="11532"/>
      <c r="BC188" s="11533"/>
      <c r="BD188" s="11534"/>
      <c r="BE188" s="11535"/>
      <c r="BF188" s="11536"/>
      <c r="BG188" s="11537"/>
      <c r="BH188" s="11538"/>
      <c r="BI188" s="11539"/>
      <c r="BJ188" s="11540"/>
      <c r="BK188" s="11541"/>
      <c r="BL188" s="11542"/>
      <c r="BM188" s="11543"/>
      <c r="BN188" s="11544"/>
      <c r="BO188" s="11545"/>
      <c r="BP188" s="11546"/>
      <c r="BQ188" s="11547"/>
      <c r="BR188" s="11548"/>
      <c r="BS188" s="11549"/>
      <c r="BT188" s="11550"/>
      <c r="BU188" s="11551"/>
      <c r="BV188" s="11552"/>
      <c r="BW188" s="11553"/>
      <c r="BX188" s="11554"/>
      <c r="BY188" s="11555"/>
      <c r="BZ188" s="11556"/>
      <c r="CA188" s="11557"/>
      <c r="CB188" s="11558"/>
      <c r="CC188" s="11559"/>
      <c r="CD188" s="11560"/>
      <c r="CE188" s="11561"/>
      <c r="CF188" s="11562"/>
      <c r="CG188" s="11563"/>
      <c r="CH188" s="11564"/>
      <c r="CI188" s="11565"/>
      <c r="CJ188" s="11566"/>
      <c r="CK188" s="11567"/>
      <c r="CL188" s="11568"/>
      <c r="CM188" s="12736"/>
      <c r="CN188" s="3818"/>
      <c r="CO188" s="1265" t="s">
        <v>647</v>
      </c>
      <c r="CP188" s="1649"/>
      <c r="CQ188" s="1631"/>
      <c r="CR188" s="1631" t="str">
        <f>IF(T188="","",T188)</f>
        <v>Добавить значение признака дифференциации</v>
      </c>
      <c r="CS188" s="1631"/>
      <c r="CT188" s="1631"/>
      <c r="CU188" s="1642">
        <v>0</v>
      </c>
    </row>
    <row s="1857" customFormat="1" customHeight="1" ht="21">
      <c r="A189" s="1370"/>
      <c r="B189" s="1370"/>
      <c r="C189" s="1370"/>
      <c r="D189" s="1370"/>
      <c r="E189" s="2266"/>
      <c r="F189" s="2266" t="s">
        <v>162</v>
      </c>
      <c r="G189" s="2266"/>
      <c r="H189" s="2266"/>
      <c r="I189" s="2263"/>
      <c r="J189" s="1370"/>
      <c r="K189" s="1370"/>
      <c r="L189" s="1376"/>
      <c r="M189" s="1783"/>
      <c r="N189" s="1783"/>
      <c r="O189" s="1783"/>
      <c r="P189" s="2381"/>
      <c r="Q189" s="2381"/>
      <c r="R189" s="363"/>
      <c r="S189" s="3819"/>
      <c r="T189" s="3820" t="s">
        <v>575</v>
      </c>
      <c r="U189" s="3821"/>
      <c r="V189" s="3822"/>
      <c r="W189" s="3823"/>
      <c r="X189" s="3824"/>
      <c r="Y189" s="3825"/>
      <c r="Z189" s="3826"/>
      <c r="AA189" s="3827"/>
      <c r="AB189" s="3828"/>
      <c r="AC189" s="3829"/>
      <c r="AD189" s="3830"/>
      <c r="AE189" s="3831"/>
      <c r="AF189" s="3832"/>
      <c r="AG189" s="3833"/>
      <c r="AH189" s="3834"/>
      <c r="AI189" s="3835"/>
      <c r="AJ189" s="11570"/>
      <c r="AK189" s="11571"/>
      <c r="AL189" s="11572"/>
      <c r="AM189" s="11573"/>
      <c r="AN189" s="11574"/>
      <c r="AO189" s="11575"/>
      <c r="AP189" s="11576"/>
      <c r="AQ189" s="11577"/>
      <c r="AR189" s="11578"/>
      <c r="AS189" s="11579"/>
      <c r="AT189" s="11580"/>
      <c r="AU189" s="11581"/>
      <c r="AV189" s="11582"/>
      <c r="AW189" s="11583"/>
      <c r="AX189" s="11584"/>
      <c r="AY189" s="11585"/>
      <c r="AZ189" s="11586"/>
      <c r="BA189" s="11587"/>
      <c r="BB189" s="11588"/>
      <c r="BC189" s="11589"/>
      <c r="BD189" s="11590"/>
      <c r="BE189" s="11591"/>
      <c r="BF189" s="11592"/>
      <c r="BG189" s="11593"/>
      <c r="BH189" s="11594"/>
      <c r="BI189" s="11595"/>
      <c r="BJ189" s="11596"/>
      <c r="BK189" s="11597"/>
      <c r="BL189" s="11598"/>
      <c r="BM189" s="11599"/>
      <c r="BN189" s="11600"/>
      <c r="BO189" s="11601"/>
      <c r="BP189" s="11602"/>
      <c r="BQ189" s="11603"/>
      <c r="BR189" s="11604"/>
      <c r="BS189" s="11605"/>
      <c r="BT189" s="11606"/>
      <c r="BU189" s="11607"/>
      <c r="BV189" s="11608"/>
      <c r="BW189" s="11609"/>
      <c r="BX189" s="11610"/>
      <c r="BY189" s="11611"/>
      <c r="BZ189" s="11612"/>
      <c r="CA189" s="11613"/>
      <c r="CB189" s="11614"/>
      <c r="CC189" s="11615"/>
      <c r="CD189" s="11616"/>
      <c r="CE189" s="11617"/>
      <c r="CF189" s="11618"/>
      <c r="CG189" s="11619"/>
      <c r="CH189" s="11620"/>
      <c r="CI189" s="11621"/>
      <c r="CJ189" s="11622"/>
      <c r="CK189" s="11623"/>
      <c r="CL189" s="11624"/>
      <c r="CM189" s="12737"/>
      <c r="CN189" s="3843"/>
      <c r="CO189" s="3844"/>
      <c r="CP189" s="1649"/>
      <c r="CQ189" s="1631"/>
      <c r="CR189" s="1631" t="str">
        <f>IF(T189="","",T189)</f>
        <v>Добавить группу потребителей</v>
      </c>
      <c r="CS189" s="1631"/>
      <c r="CT189" s="1631"/>
      <c r="CU189" s="1642">
        <v>0</v>
      </c>
    </row>
    <row s="1857" customFormat="1" customHeight="1" ht="14.25">
      <c r="A190" s="1370"/>
      <c r="B190" s="1370"/>
      <c r="C190" s="1370"/>
      <c r="D190" s="1370"/>
      <c r="E190" s="2266"/>
      <c r="F190" s="2266" t="s">
        <v>162</v>
      </c>
      <c r="G190" s="2266"/>
      <c r="H190" s="2265"/>
      <c r="I190" s="1370"/>
      <c r="J190" s="1370"/>
      <c r="K190" s="1370"/>
      <c r="L190" s="1376"/>
      <c r="M190" s="1372"/>
      <c r="N190" s="1372"/>
      <c r="O190" s="1373"/>
      <c r="P190" s="1830"/>
      <c r="Q190" s="382"/>
      <c r="R190" s="362"/>
      <c r="S190" s="3845"/>
      <c r="T190" s="3846" t="s">
        <v>648</v>
      </c>
      <c r="U190" s="3847"/>
      <c r="V190" s="3848"/>
      <c r="W190" s="3849"/>
      <c r="X190" s="3850"/>
      <c r="Y190" s="3851"/>
      <c r="Z190" s="3852"/>
      <c r="AA190" s="3853"/>
      <c r="AB190" s="3854"/>
      <c r="AC190" s="3855"/>
      <c r="AD190" s="3856"/>
      <c r="AE190" s="3857"/>
      <c r="AF190" s="3858"/>
      <c r="AG190" s="3859"/>
      <c r="AH190" s="3860"/>
      <c r="AI190" s="3861"/>
      <c r="AJ190" s="11626"/>
      <c r="AK190" s="11627"/>
      <c r="AL190" s="11628"/>
      <c r="AM190" s="11629"/>
      <c r="AN190" s="11630"/>
      <c r="AO190" s="11631"/>
      <c r="AP190" s="11632"/>
      <c r="AQ190" s="11633"/>
      <c r="AR190" s="11634"/>
      <c r="AS190" s="11635"/>
      <c r="AT190" s="11636"/>
      <c r="AU190" s="11637"/>
      <c r="AV190" s="11638"/>
      <c r="AW190" s="11639"/>
      <c r="AX190" s="11640"/>
      <c r="AY190" s="11641"/>
      <c r="AZ190" s="11642"/>
      <c r="BA190" s="11643"/>
      <c r="BB190" s="11644"/>
      <c r="BC190" s="11645"/>
      <c r="BD190" s="11646"/>
      <c r="BE190" s="11647"/>
      <c r="BF190" s="11648"/>
      <c r="BG190" s="11649"/>
      <c r="BH190" s="11650"/>
      <c r="BI190" s="11651"/>
      <c r="BJ190" s="11652"/>
      <c r="BK190" s="11653"/>
      <c r="BL190" s="11654"/>
      <c r="BM190" s="11655"/>
      <c r="BN190" s="11656"/>
      <c r="BO190" s="11657"/>
      <c r="BP190" s="11658"/>
      <c r="BQ190" s="11659"/>
      <c r="BR190" s="11660"/>
      <c r="BS190" s="11661"/>
      <c r="BT190" s="11662"/>
      <c r="BU190" s="11663"/>
      <c r="BV190" s="11664"/>
      <c r="BW190" s="11665"/>
      <c r="BX190" s="11666"/>
      <c r="BY190" s="11667"/>
      <c r="BZ190" s="11668"/>
      <c r="CA190" s="11669"/>
      <c r="CB190" s="11670"/>
      <c r="CC190" s="11671"/>
      <c r="CD190" s="11672"/>
      <c r="CE190" s="11673"/>
      <c r="CF190" s="11674"/>
      <c r="CG190" s="11675"/>
      <c r="CH190" s="11676"/>
      <c r="CI190" s="11677"/>
      <c r="CJ190" s="11678"/>
      <c r="CK190" s="11679"/>
      <c r="CL190" s="11680"/>
      <c r="CM190" s="12738"/>
      <c r="CN190" s="3869"/>
      <c r="CO190" s="3870"/>
      <c r="CP190" s="1649"/>
      <c r="CQ190" s="1631"/>
      <c r="CR190" s="1631" t="str">
        <f>IF(T190="","",T190)</f>
        <v>Добавить наименование признака дифференциации</v>
      </c>
      <c r="CS190" s="1631"/>
      <c r="CT190" s="1631"/>
      <c r="CU190" s="1642">
        <v>0</v>
      </c>
    </row>
    <row s="629" customFormat="1" customHeight="1" ht="14.25">
      <c r="A191" s="1350"/>
      <c r="B191" s="1350"/>
      <c r="C191" s="1350"/>
      <c r="D191" s="1350"/>
      <c r="E191" s="2266"/>
      <c r="F191" s="2265" t="s">
        <v>162</v>
      </c>
      <c r="G191" s="1350"/>
      <c r="H191" s="1350"/>
      <c r="I191" s="1350"/>
      <c r="J191" s="1350"/>
      <c r="K191" s="1350"/>
      <c r="L191" s="1552"/>
      <c r="M191" s="1328"/>
      <c r="N191" s="1328"/>
      <c r="O191" s="1649"/>
      <c r="P191" s="1323"/>
      <c r="Q191" s="1351"/>
      <c r="R191" s="1323"/>
      <c r="S191" s="1329"/>
      <c r="T191" s="1332" t="s">
        <v>316</v>
      </c>
      <c r="U191" s="1331"/>
      <c r="V191" s="1331"/>
      <c r="W191" s="1331"/>
      <c r="X191" s="1331"/>
      <c r="Y191" s="1331"/>
      <c r="Z191" s="1331"/>
      <c r="AA191" s="1331"/>
      <c r="AB191" s="1331"/>
      <c r="AC191" s="1331"/>
      <c r="AD191" s="1331"/>
      <c r="AE191" s="1331"/>
      <c r="AF191" s="1331"/>
      <c r="AG191" s="1331"/>
      <c r="AH191" s="1331"/>
      <c r="AI191" s="1331"/>
      <c r="AJ191" s="1331"/>
      <c r="AK191" s="1331"/>
      <c r="AL191" s="1331"/>
      <c r="AM191" s="1331"/>
      <c r="AN191" s="1331"/>
      <c r="AO191" s="1331"/>
      <c r="AP191" s="1331"/>
      <c r="AQ191" s="1331"/>
      <c r="AR191" s="1331"/>
      <c r="AS191" s="1331"/>
      <c r="AT191" s="1331"/>
      <c r="AU191" s="1331"/>
      <c r="AV191" s="1331"/>
      <c r="AW191" s="1331"/>
      <c r="AX191" s="1331"/>
      <c r="AY191" s="1331"/>
      <c r="AZ191" s="1331"/>
      <c r="BA191" s="1331"/>
      <c r="BB191" s="1331"/>
      <c r="BC191" s="1331"/>
      <c r="BD191" s="1331"/>
      <c r="BE191" s="1331"/>
      <c r="BF191" s="1331"/>
      <c r="BG191" s="1331"/>
      <c r="BH191" s="1331"/>
      <c r="BI191" s="1331"/>
      <c r="BJ191" s="1331"/>
      <c r="BK191" s="1331"/>
      <c r="BL191" s="1331"/>
      <c r="BM191" s="1331"/>
      <c r="BN191" s="1331"/>
      <c r="BO191" s="1331"/>
      <c r="BP191" s="1331"/>
      <c r="BQ191" s="1331"/>
      <c r="BR191" s="1331"/>
      <c r="BS191" s="1331"/>
      <c r="BT191" s="1331"/>
      <c r="BU191" s="1331"/>
      <c r="BV191" s="1331"/>
      <c r="BW191" s="1331"/>
      <c r="BX191" s="1331"/>
      <c r="BY191" s="1331"/>
      <c r="BZ191" s="1331"/>
      <c r="CA191" s="1331"/>
      <c r="CB191" s="1331"/>
      <c r="CC191" s="1331"/>
      <c r="CD191" s="1331"/>
      <c r="CE191" s="1331"/>
      <c r="CF191" s="1331"/>
      <c r="CG191" s="1331"/>
      <c r="CH191" s="1331"/>
      <c r="CI191" s="1331"/>
      <c r="CJ191" s="1331"/>
      <c r="CK191" s="1331"/>
      <c r="CL191" s="1331"/>
      <c r="CM191" s="1331"/>
      <c r="CN191" s="1331"/>
      <c r="CO191" s="1331"/>
      <c r="CP191" s="1649"/>
      <c r="CQ191" s="1631"/>
      <c r="CR191" s="1631" t="str">
        <f>IF(T191="","",T191)</f>
        <v>Добавить централизованную систему для дифференциации</v>
      </c>
      <c r="CS191" s="1631"/>
      <c r="CT191" s="1631"/>
      <c r="CU191" s="1649">
        <v>0</v>
      </c>
    </row>
    <row s="1857" customFormat="1" customHeight="1" ht="23.25">
      <c r="A192" s="1370"/>
      <c r="B192" s="1370" t="s">
        <v>367</v>
      </c>
      <c r="C192" s="1370"/>
      <c r="D192" s="1370"/>
      <c r="E192" s="2266"/>
      <c r="F192" s="2265" t="s">
        <v>172</v>
      </c>
      <c r="G192" s="1370"/>
      <c r="H192" s="1370"/>
      <c r="I192" s="1370"/>
      <c r="J192" s="1370"/>
      <c r="K192" s="1370"/>
      <c r="L192" s="1376"/>
      <c r="M192" s="1372"/>
      <c r="N192" s="1372"/>
      <c r="O192" s="1372"/>
      <c r="P192" s="2132"/>
      <c r="Q192" s="359"/>
      <c r="R192" s="360"/>
      <c r="S192" s="2280" t="str">
        <f>INDEX(PT_DIFFERENTIATION_NUM_TER,MATCH(B192,PT_DIFFERENTIATION_TER_ID,0))</f>
        <v>1.16</v>
      </c>
      <c r="T192" s="1529" t="s">
        <v>560</v>
      </c>
      <c r="U192" s="307"/>
      <c r="V192" s="2249"/>
      <c r="W192" s="2250"/>
      <c r="X192" s="2250"/>
      <c r="Y192" s="2250"/>
      <c r="Z192" s="2250"/>
      <c r="AA192" s="2250"/>
      <c r="AB192" s="2251"/>
      <c r="AC192" s="2249" t="str">
        <f>INDEX(PT_DIFFERENTIATION_TER,MATCH(B192,PT_DIFFERENTIATION_TER_ID,0))</f>
        <v>Территория 16</v>
      </c>
      <c r="AD192" s="2250"/>
      <c r="AE192" s="2250"/>
      <c r="AF192" s="2250"/>
      <c r="AG192" s="2250"/>
      <c r="AH192" s="2250"/>
      <c r="AI192" s="2250"/>
      <c r="AJ192" s="2249"/>
      <c r="AK192" s="2250"/>
      <c r="AL192" s="2250"/>
      <c r="AM192" s="2250"/>
      <c r="AN192" s="2250"/>
      <c r="AO192" s="2250"/>
      <c r="AP192" s="2251"/>
      <c r="AQ192" s="2249"/>
      <c r="AR192" s="2250"/>
      <c r="AS192" s="2250"/>
      <c r="AT192" s="2250"/>
      <c r="AU192" s="2250"/>
      <c r="AV192" s="2250"/>
      <c r="AW192" s="2251"/>
      <c r="AX192" s="2249"/>
      <c r="AY192" s="2250"/>
      <c r="AZ192" s="2250"/>
      <c r="BA192" s="2250"/>
      <c r="BB192" s="2250"/>
      <c r="BC192" s="2250"/>
      <c r="BD192" s="2251"/>
      <c r="BE192" s="2249"/>
      <c r="BF192" s="2250"/>
      <c r="BG192" s="2250"/>
      <c r="BH192" s="2250"/>
      <c r="BI192" s="2250"/>
      <c r="BJ192" s="2250"/>
      <c r="BK192" s="2251"/>
      <c r="BL192" s="2249"/>
      <c r="BM192" s="2250"/>
      <c r="BN192" s="2250"/>
      <c r="BO192" s="2250"/>
      <c r="BP192" s="2250"/>
      <c r="BQ192" s="2250"/>
      <c r="BR192" s="2251"/>
      <c r="BS192" s="2249"/>
      <c r="BT192" s="2250"/>
      <c r="BU192" s="2250"/>
      <c r="BV192" s="2250"/>
      <c r="BW192" s="2250"/>
      <c r="BX192" s="2250"/>
      <c r="BY192" s="2251"/>
      <c r="BZ192" s="2249"/>
      <c r="CA192" s="2250"/>
      <c r="CB192" s="2250"/>
      <c r="CC192" s="2250"/>
      <c r="CD192" s="2250"/>
      <c r="CE192" s="2250"/>
      <c r="CF192" s="2251"/>
      <c r="CG192" s="2249"/>
      <c r="CH192" s="2250"/>
      <c r="CI192" s="2250"/>
      <c r="CJ192" s="2250"/>
      <c r="CK192" s="2250"/>
      <c r="CL192" s="2250"/>
      <c r="CM192" s="4492"/>
      <c r="CN192" s="2251"/>
      <c r="CO192" s="1265" t="s">
        <v>561</v>
      </c>
      <c r="CP192" s="1649"/>
      <c r="CQ192" s="1631"/>
      <c r="CR192" s="1631" t="str">
        <f>IF(T192="","",T192)</f>
        <v>Территория действия тарифа</v>
      </c>
      <c r="CS192" s="1631"/>
      <c r="CT192" s="1631"/>
      <c r="CU192" s="1642">
        <v>0</v>
      </c>
    </row>
    <row s="1857" customFormat="1" customHeight="1" ht="23.25">
      <c r="A193" s="1370"/>
      <c r="B193" s="1370"/>
      <c r="C193" s="1370" t="s">
        <v>368</v>
      </c>
      <c r="D193" s="1370"/>
      <c r="E193" s="2266"/>
      <c r="F193" s="2266" t="s">
        <v>167</v>
      </c>
      <c r="G193" s="2265">
        <v>1</v>
      </c>
      <c r="H193" s="1370"/>
      <c r="I193" s="1370"/>
      <c r="J193" s="1370"/>
      <c r="K193" s="1370"/>
      <c r="L193" s="1376"/>
      <c r="M193" s="1372"/>
      <c r="N193" s="1372"/>
      <c r="O193" s="1372"/>
      <c r="P193" s="361"/>
      <c r="Q193" s="359"/>
      <c r="R193" s="360"/>
      <c r="S193" s="2280" t="str">
        <f>INDEX(PT_DIFFERENTIATION_NUM_CS,MATCH(C193,PT_DIFFERENTIATION_CS_ID,0))</f>
        <v>1.16.1</v>
      </c>
      <c r="T193" s="316" t="s">
        <v>641</v>
      </c>
      <c r="U193" s="307"/>
      <c r="V193" s="2249"/>
      <c r="W193" s="2250"/>
      <c r="X193" s="2250"/>
      <c r="Y193" s="2250"/>
      <c r="Z193" s="2250"/>
      <c r="AA193" s="2250"/>
      <c r="AB193" s="2251"/>
      <c r="AC193" s="2249" t="str">
        <f>INDEX(PT_DIFFERENTIATION_CS,MATCH(C193,PT_DIFFERENTIATION_CS_ID,0))</f>
        <v>Ровеньской район </v>
      </c>
      <c r="AD193" s="2250"/>
      <c r="AE193" s="2250"/>
      <c r="AF193" s="2250"/>
      <c r="AG193" s="2250"/>
      <c r="AH193" s="2250"/>
      <c r="AI193" s="2250"/>
      <c r="AJ193" s="2249"/>
      <c r="AK193" s="2250"/>
      <c r="AL193" s="2250"/>
      <c r="AM193" s="2250"/>
      <c r="AN193" s="2250"/>
      <c r="AO193" s="2250"/>
      <c r="AP193" s="2251"/>
      <c r="AQ193" s="2249"/>
      <c r="AR193" s="2250"/>
      <c r="AS193" s="2250"/>
      <c r="AT193" s="2250"/>
      <c r="AU193" s="2250"/>
      <c r="AV193" s="2250"/>
      <c r="AW193" s="2251"/>
      <c r="AX193" s="2249"/>
      <c r="AY193" s="2250"/>
      <c r="AZ193" s="2250"/>
      <c r="BA193" s="2250"/>
      <c r="BB193" s="2250"/>
      <c r="BC193" s="2250"/>
      <c r="BD193" s="2251"/>
      <c r="BE193" s="2249"/>
      <c r="BF193" s="2250"/>
      <c r="BG193" s="2250"/>
      <c r="BH193" s="2250"/>
      <c r="BI193" s="2250"/>
      <c r="BJ193" s="2250"/>
      <c r="BK193" s="2251"/>
      <c r="BL193" s="2249"/>
      <c r="BM193" s="2250"/>
      <c r="BN193" s="2250"/>
      <c r="BO193" s="2250"/>
      <c r="BP193" s="2250"/>
      <c r="BQ193" s="2250"/>
      <c r="BR193" s="2251"/>
      <c r="BS193" s="2249"/>
      <c r="BT193" s="2250"/>
      <c r="BU193" s="2250"/>
      <c r="BV193" s="2250"/>
      <c r="BW193" s="2250"/>
      <c r="BX193" s="2250"/>
      <c r="BY193" s="2251"/>
      <c r="BZ193" s="2249"/>
      <c r="CA193" s="2250"/>
      <c r="CB193" s="2250"/>
      <c r="CC193" s="2250"/>
      <c r="CD193" s="2250"/>
      <c r="CE193" s="2250"/>
      <c r="CF193" s="2251"/>
      <c r="CG193" s="2249"/>
      <c r="CH193" s="2250"/>
      <c r="CI193" s="2250"/>
      <c r="CJ193" s="2250"/>
      <c r="CK193" s="2250"/>
      <c r="CL193" s="2250"/>
      <c r="CM193" s="4492"/>
      <c r="CN193" s="2251"/>
      <c r="CO193" s="1265" t="s">
        <v>642</v>
      </c>
      <c r="CP193" s="1649"/>
      <c r="CQ193" s="1631"/>
      <c r="CR193" s="1631" t="str">
        <f>IF(T193="","",T193)</f>
        <v>Наименование централизованной системы холодного водоснабжения</v>
      </c>
      <c r="CS193" s="1631"/>
      <c r="CT193" s="1631"/>
      <c r="CU193" s="1642">
        <v>0</v>
      </c>
    </row>
    <row s="1857" customFormat="1" customHeight="1" ht="23.25">
      <c r="A194" s="1370"/>
      <c r="B194" s="1370"/>
      <c r="C194" s="1370"/>
      <c r="D194" s="1370"/>
      <c r="E194" s="2266"/>
      <c r="F194" s="2266" t="s">
        <v>167</v>
      </c>
      <c r="G194" s="2266"/>
      <c r="H194" s="2266"/>
      <c r="I194" s="2263" t="str">
        <f>S193&amp;".1"</f>
        <v>1.16.1.1</v>
      </c>
      <c r="J194" s="1370"/>
      <c r="K194" s="1370"/>
      <c r="L194" s="1376"/>
      <c r="M194" s="1783"/>
      <c r="N194" s="1783"/>
      <c r="O194" s="1783"/>
      <c r="P194" s="2381">
        <v>1</v>
      </c>
      <c r="Q194" s="2381"/>
      <c r="R194" s="363"/>
      <c r="S194" s="2280" t="str">
        <f>$I194</f>
        <v>1.16.1.1</v>
      </c>
      <c r="T194" s="292" t="s">
        <v>643</v>
      </c>
      <c r="U194" s="307"/>
      <c r="V194" s="2357"/>
      <c r="W194" s="2358"/>
      <c r="X194" s="2358"/>
      <c r="Y194" s="2358"/>
      <c r="Z194" s="2358"/>
      <c r="AA194" s="2358"/>
      <c r="AB194" s="2359"/>
      <c r="AC194" s="2360" t="s">
        <v>366</v>
      </c>
      <c r="AD194" s="2361"/>
      <c r="AE194" s="2361"/>
      <c r="AF194" s="2361"/>
      <c r="AG194" s="2361"/>
      <c r="AH194" s="2361"/>
      <c r="AI194" s="2361"/>
      <c r="AJ194" s="2357"/>
      <c r="AK194" s="2358"/>
      <c r="AL194" s="2358"/>
      <c r="AM194" s="2358"/>
      <c r="AN194" s="2358"/>
      <c r="AO194" s="2358"/>
      <c r="AP194" s="2359"/>
      <c r="AQ194" s="2357"/>
      <c r="AR194" s="2358"/>
      <c r="AS194" s="2358"/>
      <c r="AT194" s="2358"/>
      <c r="AU194" s="2358"/>
      <c r="AV194" s="2358"/>
      <c r="AW194" s="2359"/>
      <c r="AX194" s="2357"/>
      <c r="AY194" s="2358"/>
      <c r="AZ194" s="2358"/>
      <c r="BA194" s="2358"/>
      <c r="BB194" s="2358"/>
      <c r="BC194" s="2358"/>
      <c r="BD194" s="2359"/>
      <c r="BE194" s="2357"/>
      <c r="BF194" s="2358"/>
      <c r="BG194" s="2358"/>
      <c r="BH194" s="2358"/>
      <c r="BI194" s="2358"/>
      <c r="BJ194" s="2358"/>
      <c r="BK194" s="2359"/>
      <c r="BL194" s="2357"/>
      <c r="BM194" s="2358"/>
      <c r="BN194" s="2358"/>
      <c r="BO194" s="2358"/>
      <c r="BP194" s="2358"/>
      <c r="BQ194" s="2358"/>
      <c r="BR194" s="2359"/>
      <c r="BS194" s="2357"/>
      <c r="BT194" s="2358"/>
      <c r="BU194" s="2358"/>
      <c r="BV194" s="2358"/>
      <c r="BW194" s="2358"/>
      <c r="BX194" s="2358"/>
      <c r="BY194" s="2359"/>
      <c r="BZ194" s="2357"/>
      <c r="CA194" s="2358"/>
      <c r="CB194" s="2358"/>
      <c r="CC194" s="2358"/>
      <c r="CD194" s="2358"/>
      <c r="CE194" s="2358"/>
      <c r="CF194" s="2359"/>
      <c r="CG194" s="2357"/>
      <c r="CH194" s="2358"/>
      <c r="CI194" s="2358"/>
      <c r="CJ194" s="2358"/>
      <c r="CK194" s="2358"/>
      <c r="CL194" s="2358"/>
      <c r="CM194" s="4495"/>
      <c r="CN194" s="2362"/>
      <c r="CO194" s="1265" t="s">
        <v>644</v>
      </c>
      <c r="CP194" s="1649"/>
      <c r="CQ194" s="1631"/>
      <c r="CR194" s="1631" t="str">
        <f>IF(T194="","",T194)</f>
        <v>Наименование признака дифференциации</v>
      </c>
      <c r="CS194" s="1631"/>
      <c r="CT194" s="1631"/>
      <c r="CU194" s="1642">
        <v>0</v>
      </c>
    </row>
    <row s="1857" customFormat="1" customHeight="1" ht="23.25">
      <c r="A195" s="1370"/>
      <c r="B195" s="1370"/>
      <c r="C195" s="1370"/>
      <c r="D195" s="1370"/>
      <c r="E195" s="2266"/>
      <c r="F195" s="2266" t="s">
        <v>167</v>
      </c>
      <c r="G195" s="2266"/>
      <c r="H195" s="2266"/>
      <c r="I195" s="2293"/>
      <c r="J195" s="2263" t="str">
        <f>I194&amp;".1"</f>
        <v>1.16.1.1.1</v>
      </c>
      <c r="K195" s="1370"/>
      <c r="L195" s="1376" t="s">
        <v>569</v>
      </c>
      <c r="M195" s="1783"/>
      <c r="N195" s="1783"/>
      <c r="O195" s="1783"/>
      <c r="P195" s="2381"/>
      <c r="Q195" s="2381">
        <v>1</v>
      </c>
      <c r="R195" s="364"/>
      <c r="S195" s="2280" t="str">
        <f>$J195</f>
        <v>1.16.1.1.1</v>
      </c>
      <c r="T195" s="293" t="s">
        <v>570</v>
      </c>
      <c r="U195" s="307"/>
      <c r="V195" s="2252"/>
      <c r="W195" s="2253"/>
      <c r="X195" s="2253"/>
      <c r="Y195" s="2253"/>
      <c r="Z195" s="2253"/>
      <c r="AA195" s="2253"/>
      <c r="AB195" s="2254"/>
      <c r="AC195" s="2252" t="s">
        <v>656</v>
      </c>
      <c r="AD195" s="2253"/>
      <c r="AE195" s="2253"/>
      <c r="AF195" s="2253"/>
      <c r="AG195" s="2253"/>
      <c r="AH195" s="2253"/>
      <c r="AI195" s="2253"/>
      <c r="AJ195" s="2252"/>
      <c r="AK195" s="2253"/>
      <c r="AL195" s="2253"/>
      <c r="AM195" s="2253"/>
      <c r="AN195" s="2253"/>
      <c r="AO195" s="2253"/>
      <c r="AP195" s="2254"/>
      <c r="AQ195" s="2252"/>
      <c r="AR195" s="2253"/>
      <c r="AS195" s="2253"/>
      <c r="AT195" s="2253"/>
      <c r="AU195" s="2253"/>
      <c r="AV195" s="2253"/>
      <c r="AW195" s="2254"/>
      <c r="AX195" s="2252"/>
      <c r="AY195" s="2253"/>
      <c r="AZ195" s="2253"/>
      <c r="BA195" s="2253"/>
      <c r="BB195" s="2253"/>
      <c r="BC195" s="2253"/>
      <c r="BD195" s="2254"/>
      <c r="BE195" s="2252"/>
      <c r="BF195" s="2253"/>
      <c r="BG195" s="2253"/>
      <c r="BH195" s="2253"/>
      <c r="BI195" s="2253"/>
      <c r="BJ195" s="2253"/>
      <c r="BK195" s="2254"/>
      <c r="BL195" s="2252"/>
      <c r="BM195" s="2253"/>
      <c r="BN195" s="2253"/>
      <c r="BO195" s="2253"/>
      <c r="BP195" s="2253"/>
      <c r="BQ195" s="2253"/>
      <c r="BR195" s="2254"/>
      <c r="BS195" s="2252"/>
      <c r="BT195" s="2253"/>
      <c r="BU195" s="2253"/>
      <c r="BV195" s="2253"/>
      <c r="BW195" s="2253"/>
      <c r="BX195" s="2253"/>
      <c r="BY195" s="2254"/>
      <c r="BZ195" s="2252"/>
      <c r="CA195" s="2253"/>
      <c r="CB195" s="2253"/>
      <c r="CC195" s="2253"/>
      <c r="CD195" s="2253"/>
      <c r="CE195" s="2253"/>
      <c r="CF195" s="2254"/>
      <c r="CG195" s="2252"/>
      <c r="CH195" s="2253"/>
      <c r="CI195" s="2253"/>
      <c r="CJ195" s="2253"/>
      <c r="CK195" s="2253"/>
      <c r="CL195" s="2253"/>
      <c r="CM195" s="4498"/>
      <c r="CN195" s="2254"/>
      <c r="CO195" s="1314" t="s">
        <v>645</v>
      </c>
      <c r="CP195" s="1649"/>
      <c r="CQ195" s="1631"/>
      <c r="CR195" s="1631" t="str">
        <f>IF(T195="","",T195)</f>
        <v>Группа потребителей</v>
      </c>
      <c r="CS195" s="1631"/>
      <c r="CT195" s="1631"/>
      <c r="CU195" s="1642">
        <v>0</v>
      </c>
    </row>
    <row s="1857" customFormat="1" customHeight="1" ht="23.25">
      <c r="A196" s="1370"/>
      <c r="B196" s="1370"/>
      <c r="C196" s="1370"/>
      <c r="D196" s="1370"/>
      <c r="E196" s="2266"/>
      <c r="F196" s="2266" t="s">
        <v>167</v>
      </c>
      <c r="G196" s="2266"/>
      <c r="H196" s="2266"/>
      <c r="I196" s="2293"/>
      <c r="J196" s="2293"/>
      <c r="K196" s="2263" t="str">
        <f>J195&amp;".1"</f>
        <v>1.16.1.1.1.1</v>
      </c>
      <c r="L196" s="1376"/>
      <c r="M196" s="1783"/>
      <c r="N196" s="1783"/>
      <c r="O196" s="1783"/>
      <c r="P196" s="2381"/>
      <c r="Q196" s="2381"/>
      <c r="R196" s="364">
        <v>1</v>
      </c>
      <c r="S196" s="2280" t="str">
        <f>$K196</f>
        <v>1.16.1.1.1.1</v>
      </c>
      <c r="T196" s="1444" t="s">
        <v>657</v>
      </c>
      <c r="U196" s="307"/>
      <c r="V196" s="758"/>
      <c r="W196" s="758"/>
      <c r="X196" s="1264"/>
      <c r="Y196" s="2609"/>
      <c r="Z196" s="2114" t="s">
        <v>66</v>
      </c>
      <c r="AA196" s="2609"/>
      <c r="AB196" s="2114" t="s">
        <v>66</v>
      </c>
      <c r="AC196" s="758">
        <v>24.31</v>
      </c>
      <c r="AD196" s="758"/>
      <c r="AE196" s="1264"/>
      <c r="AF196" s="2609">
        <v>44896</v>
      </c>
      <c r="AG196" s="2114" t="s">
        <v>66</v>
      </c>
      <c r="AH196" s="2294">
        <v>45291</v>
      </c>
      <c r="AI196" s="2114" t="s">
        <v>66</v>
      </c>
      <c r="AJ196" s="758">
        <v>24.31</v>
      </c>
      <c r="AK196" s="758"/>
      <c r="AL196" s="1264"/>
      <c r="AM196" s="2609">
        <v>45292</v>
      </c>
      <c r="AN196" s="2114" t="s">
        <v>66</v>
      </c>
      <c r="AO196" s="2609">
        <v>45473</v>
      </c>
      <c r="AP196" s="2114" t="s">
        <v>66</v>
      </c>
      <c r="AQ196" s="758">
        <v>27.7</v>
      </c>
      <c r="AR196" s="758"/>
      <c r="AS196" s="1264"/>
      <c r="AT196" s="2609">
        <v>45474</v>
      </c>
      <c r="AU196" s="2114" t="s">
        <v>66</v>
      </c>
      <c r="AV196" s="2609">
        <v>45657</v>
      </c>
      <c r="AW196" s="2114" t="s">
        <v>66</v>
      </c>
      <c r="AX196" s="758">
        <v>22.7</v>
      </c>
      <c r="AY196" s="758"/>
      <c r="AZ196" s="1264"/>
      <c r="BA196" s="2609">
        <v>45658</v>
      </c>
      <c r="BB196" s="2114" t="s">
        <v>66</v>
      </c>
      <c r="BC196" s="2609">
        <v>45838</v>
      </c>
      <c r="BD196" s="2114" t="s">
        <v>66</v>
      </c>
      <c r="BE196" s="758">
        <v>89.03</v>
      </c>
      <c r="BF196" s="758"/>
      <c r="BG196" s="1264"/>
      <c r="BH196" s="2609">
        <v>45839</v>
      </c>
      <c r="BI196" s="2114" t="s">
        <v>66</v>
      </c>
      <c r="BJ196" s="2609">
        <v>46022</v>
      </c>
      <c r="BK196" s="2114" t="s">
        <v>66</v>
      </c>
      <c r="BL196" s="758">
        <v>26.37</v>
      </c>
      <c r="BM196" s="758"/>
      <c r="BN196" s="1264"/>
      <c r="BO196" s="2609">
        <v>46023</v>
      </c>
      <c r="BP196" s="2114" t="s">
        <v>66</v>
      </c>
      <c r="BQ196" s="2609">
        <v>46203</v>
      </c>
      <c r="BR196" s="2114" t="s">
        <v>66</v>
      </c>
      <c r="BS196" s="758">
        <v>27.18</v>
      </c>
      <c r="BT196" s="758"/>
      <c r="BU196" s="1264"/>
      <c r="BV196" s="2609">
        <v>46204</v>
      </c>
      <c r="BW196" s="2114" t="s">
        <v>66</v>
      </c>
      <c r="BX196" s="2609">
        <v>46387</v>
      </c>
      <c r="BY196" s="2114" t="s">
        <v>66</v>
      </c>
      <c r="BZ196" s="758">
        <v>27.18</v>
      </c>
      <c r="CA196" s="758"/>
      <c r="CB196" s="1264"/>
      <c r="CC196" s="2609">
        <v>46388</v>
      </c>
      <c r="CD196" s="2114" t="s">
        <v>66</v>
      </c>
      <c r="CE196" s="2609">
        <v>46568</v>
      </c>
      <c r="CF196" s="2114" t="s">
        <v>66</v>
      </c>
      <c r="CG196" s="758">
        <v>28.45</v>
      </c>
      <c r="CH196" s="758"/>
      <c r="CI196" s="1264"/>
      <c r="CJ196" s="2609">
        <v>46569</v>
      </c>
      <c r="CK196" s="2114" t="s">
        <v>66</v>
      </c>
      <c r="CL196" s="2609">
        <v>46752</v>
      </c>
      <c r="CM196" s="2114" t="s">
        <v>66</v>
      </c>
      <c r="CN196" s="1445"/>
      <c r="CO19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196" s="1649">
        <f>STRCHECKDATE(V197:CN197)</f>
      </c>
      <c r="CQ196" s="1631"/>
      <c r="CR196" s="1631" t="str">
        <f>IF(T196="","",T196)</f>
        <v>Тариф по водоснабжению без НДС</v>
      </c>
      <c r="CS196" s="1631"/>
      <c r="CT196" s="1631"/>
      <c r="CU196" s="1642">
        <v>0</v>
      </c>
    </row>
    <row s="1857" customFormat="1" customHeight="1" ht="14.25">
      <c r="A197" s="1370"/>
      <c r="B197" s="1370"/>
      <c r="C197" s="1370"/>
      <c r="D197" s="1370"/>
      <c r="E197" s="2266"/>
      <c r="F197" s="2266" t="s">
        <v>167</v>
      </c>
      <c r="G197" s="2266"/>
      <c r="H197" s="2266"/>
      <c r="I197" s="2293"/>
      <c r="J197" s="2293"/>
      <c r="K197" s="2263"/>
      <c r="L197" s="1376"/>
      <c r="M197" s="1783"/>
      <c r="N197" s="1783"/>
      <c r="O197" s="1783"/>
      <c r="P197" s="2381"/>
      <c r="Q197" s="2381"/>
      <c r="R197" s="364"/>
      <c r="S197" s="2520"/>
      <c r="T197" s="307"/>
      <c r="U197" s="307"/>
      <c r="V197" s="332"/>
      <c r="W197" s="332"/>
      <c r="X197" s="335" t="str">
        <f>Y196&amp;"-"&amp;AA196</f>
        <v>-</v>
      </c>
      <c r="Y197" s="2316"/>
      <c r="Z197" s="2114"/>
      <c r="AA197" s="2316"/>
      <c r="AB197" s="2114"/>
      <c r="AC197" s="332"/>
      <c r="AD197" s="332"/>
      <c r="AE197" s="335" t="str">
        <f>AF196&amp;"-"&amp;AH196</f>
        <v>44896-45291</v>
      </c>
      <c r="AF197" s="2316"/>
      <c r="AG197" s="2114"/>
      <c r="AH197" s="2295"/>
      <c r="AI197" s="2114"/>
      <c r="AJ197" s="332"/>
      <c r="AK197" s="332"/>
      <c r="AL197" s="335" t="str">
        <f>AM196&amp;"-"&amp;AO196</f>
        <v>45292-45473</v>
      </c>
      <c r="AM197" s="2316"/>
      <c r="AN197" s="2114"/>
      <c r="AO197" s="2316"/>
      <c r="AP197" s="2114"/>
      <c r="AQ197" s="332"/>
      <c r="AR197" s="332"/>
      <c r="AS197" s="335" t="str">
        <f>AT196&amp;"-"&amp;AV196</f>
        <v>45474-45657</v>
      </c>
      <c r="AT197" s="2316"/>
      <c r="AU197" s="2114"/>
      <c r="AV197" s="2316"/>
      <c r="AW197" s="2114"/>
      <c r="AX197" s="332"/>
      <c r="AY197" s="332"/>
      <c r="AZ197" s="335" t="str">
        <f>BA196&amp;"-"&amp;BC196</f>
        <v>45658-45838</v>
      </c>
      <c r="BA197" s="2316"/>
      <c r="BB197" s="2114"/>
      <c r="BC197" s="2316"/>
      <c r="BD197" s="2114"/>
      <c r="BE197" s="332"/>
      <c r="BF197" s="332"/>
      <c r="BG197" s="335" t="str">
        <f>BH196&amp;"-"&amp;BJ196</f>
        <v>45839-46022</v>
      </c>
      <c r="BH197" s="2316"/>
      <c r="BI197" s="2114"/>
      <c r="BJ197" s="2316"/>
      <c r="BK197" s="2114"/>
      <c r="BL197" s="332"/>
      <c r="BM197" s="332"/>
      <c r="BN197" s="335" t="str">
        <f>BO196&amp;"-"&amp;BQ196</f>
        <v>46023-46203</v>
      </c>
      <c r="BO197" s="2316"/>
      <c r="BP197" s="2114"/>
      <c r="BQ197" s="2316"/>
      <c r="BR197" s="2114"/>
      <c r="BS197" s="332"/>
      <c r="BT197" s="332"/>
      <c r="BU197" s="335" t="str">
        <f>BV196&amp;"-"&amp;BX196</f>
        <v>46204-46387</v>
      </c>
      <c r="BV197" s="2316"/>
      <c r="BW197" s="2114"/>
      <c r="BX197" s="2316"/>
      <c r="BY197" s="2114"/>
      <c r="BZ197" s="332"/>
      <c r="CA197" s="332"/>
      <c r="CB197" s="335" t="str">
        <f>CC196&amp;"-"&amp;CE196</f>
        <v>46388-46568</v>
      </c>
      <c r="CC197" s="2316"/>
      <c r="CD197" s="2114"/>
      <c r="CE197" s="2316"/>
      <c r="CF197" s="2114"/>
      <c r="CG197" s="332"/>
      <c r="CH197" s="332"/>
      <c r="CI197" s="335" t="str">
        <f>CJ196&amp;"-"&amp;CL196</f>
        <v>46569-46752</v>
      </c>
      <c r="CJ197" s="2316"/>
      <c r="CK197" s="2114"/>
      <c r="CL197" s="2316"/>
      <c r="CM197" s="2114"/>
      <c r="CN197" s="1446"/>
      <c r="CO197" s="2356"/>
      <c r="CP197" s="1649"/>
      <c r="CQ197" s="1631"/>
      <c r="CR197" s="1631" t="str">
        <f>IF(T197="","",T197)</f>
        <v/>
      </c>
      <c r="CS197" s="1631"/>
      <c r="CT197" s="1631"/>
      <c r="CU197" s="1642">
        <v>0</v>
      </c>
    </row>
    <row s="1857" customFormat="1" customHeight="1" ht="21">
      <c r="A198" s="1370"/>
      <c r="B198" s="1370"/>
      <c r="C198" s="1370"/>
      <c r="D198" s="1370"/>
      <c r="E198" s="2266"/>
      <c r="F198" s="2266" t="s">
        <v>167</v>
      </c>
      <c r="G198" s="2266"/>
      <c r="H198" s="2266"/>
      <c r="I198" s="2293"/>
      <c r="J198" s="2263"/>
      <c r="K198" s="1370"/>
      <c r="L198" s="1376"/>
      <c r="M198" s="1783"/>
      <c r="N198" s="1783"/>
      <c r="O198" s="1783"/>
      <c r="P198" s="2381"/>
      <c r="Q198" s="2381"/>
      <c r="R198" s="363"/>
      <c r="S198" s="3871"/>
      <c r="T198" s="3872" t="s">
        <v>646</v>
      </c>
      <c r="U198" s="3873"/>
      <c r="V198" s="3874"/>
      <c r="W198" s="3875"/>
      <c r="X198" s="3876"/>
      <c r="Y198" s="3877"/>
      <c r="Z198" s="3878"/>
      <c r="AA198" s="3879"/>
      <c r="AB198" s="3880"/>
      <c r="AC198" s="3881"/>
      <c r="AD198" s="3882"/>
      <c r="AE198" s="3883"/>
      <c r="AF198" s="3884"/>
      <c r="AG198" s="3885"/>
      <c r="AH198" s="3886"/>
      <c r="AI198" s="3887"/>
      <c r="AJ198" s="11682"/>
      <c r="AK198" s="11683"/>
      <c r="AL198" s="11684"/>
      <c r="AM198" s="11685"/>
      <c r="AN198" s="11686"/>
      <c r="AO198" s="11687"/>
      <c r="AP198" s="11688"/>
      <c r="AQ198" s="11689"/>
      <c r="AR198" s="11690"/>
      <c r="AS198" s="11691"/>
      <c r="AT198" s="11692"/>
      <c r="AU198" s="11693"/>
      <c r="AV198" s="11694"/>
      <c r="AW198" s="11695"/>
      <c r="AX198" s="11696"/>
      <c r="AY198" s="11697"/>
      <c r="AZ198" s="11698"/>
      <c r="BA198" s="11699"/>
      <c r="BB198" s="11700"/>
      <c r="BC198" s="11701"/>
      <c r="BD198" s="11702"/>
      <c r="BE198" s="11703"/>
      <c r="BF198" s="11704"/>
      <c r="BG198" s="11705"/>
      <c r="BH198" s="11706"/>
      <c r="BI198" s="11707"/>
      <c r="BJ198" s="11708"/>
      <c r="BK198" s="11709"/>
      <c r="BL198" s="11710"/>
      <c r="BM198" s="11711"/>
      <c r="BN198" s="11712"/>
      <c r="BO198" s="11713"/>
      <c r="BP198" s="11714"/>
      <c r="BQ198" s="11715"/>
      <c r="BR198" s="11716"/>
      <c r="BS198" s="11717"/>
      <c r="BT198" s="11718"/>
      <c r="BU198" s="11719"/>
      <c r="BV198" s="11720"/>
      <c r="BW198" s="11721"/>
      <c r="BX198" s="11722"/>
      <c r="BY198" s="11723"/>
      <c r="BZ198" s="11724"/>
      <c r="CA198" s="11725"/>
      <c r="CB198" s="11726"/>
      <c r="CC198" s="11727"/>
      <c r="CD198" s="11728"/>
      <c r="CE198" s="11729"/>
      <c r="CF198" s="11730"/>
      <c r="CG198" s="11731"/>
      <c r="CH198" s="11732"/>
      <c r="CI198" s="11733"/>
      <c r="CJ198" s="11734"/>
      <c r="CK198" s="11735"/>
      <c r="CL198" s="11736"/>
      <c r="CM198" s="12739"/>
      <c r="CN198" s="3895"/>
      <c r="CO198" s="1265" t="s">
        <v>647</v>
      </c>
      <c r="CP198" s="1649"/>
      <c r="CQ198" s="1631"/>
      <c r="CR198" s="1631" t="str">
        <f>IF(T198="","",T198)</f>
        <v>Добавить значение признака дифференциации</v>
      </c>
      <c r="CS198" s="1631"/>
      <c r="CT198" s="1631"/>
      <c r="CU198" s="1642">
        <v>0</v>
      </c>
    </row>
    <row s="1857" customFormat="1" customHeight="1" ht="21">
      <c r="A199" s="1370"/>
      <c r="B199" s="1370"/>
      <c r="C199" s="1370"/>
      <c r="D199" s="1370"/>
      <c r="E199" s="2266"/>
      <c r="F199" s="2266" t="s">
        <v>167</v>
      </c>
      <c r="G199" s="2266"/>
      <c r="H199" s="2266"/>
      <c r="I199" s="2263"/>
      <c r="J199" s="1370"/>
      <c r="K199" s="1370"/>
      <c r="L199" s="1376"/>
      <c r="M199" s="1783"/>
      <c r="N199" s="1783"/>
      <c r="O199" s="1783"/>
      <c r="P199" s="2381"/>
      <c r="Q199" s="2381"/>
      <c r="R199" s="363"/>
      <c r="S199" s="3896"/>
      <c r="T199" s="3897" t="s">
        <v>575</v>
      </c>
      <c r="U199" s="3898"/>
      <c r="V199" s="3899"/>
      <c r="W199" s="3900"/>
      <c r="X199" s="3901"/>
      <c r="Y199" s="3902"/>
      <c r="Z199" s="3903"/>
      <c r="AA199" s="3904"/>
      <c r="AB199" s="3905"/>
      <c r="AC199" s="3906"/>
      <c r="AD199" s="3907"/>
      <c r="AE199" s="3908"/>
      <c r="AF199" s="3909"/>
      <c r="AG199" s="3910"/>
      <c r="AH199" s="3911"/>
      <c r="AI199" s="3912"/>
      <c r="AJ199" s="11738"/>
      <c r="AK199" s="11739"/>
      <c r="AL199" s="11740"/>
      <c r="AM199" s="11741"/>
      <c r="AN199" s="11742"/>
      <c r="AO199" s="11743"/>
      <c r="AP199" s="11744"/>
      <c r="AQ199" s="11745"/>
      <c r="AR199" s="11746"/>
      <c r="AS199" s="11747"/>
      <c r="AT199" s="11748"/>
      <c r="AU199" s="11749"/>
      <c r="AV199" s="11750"/>
      <c r="AW199" s="11751"/>
      <c r="AX199" s="11752"/>
      <c r="AY199" s="11753"/>
      <c r="AZ199" s="11754"/>
      <c r="BA199" s="11755"/>
      <c r="BB199" s="11756"/>
      <c r="BC199" s="11757"/>
      <c r="BD199" s="11758"/>
      <c r="BE199" s="11759"/>
      <c r="BF199" s="11760"/>
      <c r="BG199" s="11761"/>
      <c r="BH199" s="11762"/>
      <c r="BI199" s="11763"/>
      <c r="BJ199" s="11764"/>
      <c r="BK199" s="11765"/>
      <c r="BL199" s="11766"/>
      <c r="BM199" s="11767"/>
      <c r="BN199" s="11768"/>
      <c r="BO199" s="11769"/>
      <c r="BP199" s="11770"/>
      <c r="BQ199" s="11771"/>
      <c r="BR199" s="11772"/>
      <c r="BS199" s="11773"/>
      <c r="BT199" s="11774"/>
      <c r="BU199" s="11775"/>
      <c r="BV199" s="11776"/>
      <c r="BW199" s="11777"/>
      <c r="BX199" s="11778"/>
      <c r="BY199" s="11779"/>
      <c r="BZ199" s="11780"/>
      <c r="CA199" s="11781"/>
      <c r="CB199" s="11782"/>
      <c r="CC199" s="11783"/>
      <c r="CD199" s="11784"/>
      <c r="CE199" s="11785"/>
      <c r="CF199" s="11786"/>
      <c r="CG199" s="11787"/>
      <c r="CH199" s="11788"/>
      <c r="CI199" s="11789"/>
      <c r="CJ199" s="11790"/>
      <c r="CK199" s="11791"/>
      <c r="CL199" s="11792"/>
      <c r="CM199" s="12740"/>
      <c r="CN199" s="3920"/>
      <c r="CO199" s="3921"/>
      <c r="CP199" s="1649"/>
      <c r="CQ199" s="1631"/>
      <c r="CR199" s="1631" t="str">
        <f>IF(T199="","",T199)</f>
        <v>Добавить группу потребителей</v>
      </c>
      <c r="CS199" s="1631"/>
      <c r="CT199" s="1631"/>
      <c r="CU199" s="1642">
        <v>0</v>
      </c>
    </row>
    <row s="1857" customFormat="1" customHeight="1" ht="14.25">
      <c r="A200" s="1370"/>
      <c r="B200" s="1370"/>
      <c r="C200" s="1370"/>
      <c r="D200" s="1370"/>
      <c r="E200" s="2266"/>
      <c r="F200" s="2266" t="s">
        <v>167</v>
      </c>
      <c r="G200" s="2266"/>
      <c r="H200" s="2265"/>
      <c r="I200" s="1370"/>
      <c r="J200" s="1370"/>
      <c r="K200" s="1370"/>
      <c r="L200" s="1376"/>
      <c r="M200" s="1372"/>
      <c r="N200" s="1372"/>
      <c r="O200" s="1373"/>
      <c r="P200" s="1830"/>
      <c r="Q200" s="382"/>
      <c r="R200" s="362"/>
      <c r="S200" s="3922"/>
      <c r="T200" s="3923" t="s">
        <v>648</v>
      </c>
      <c r="U200" s="3924"/>
      <c r="V200" s="3925"/>
      <c r="W200" s="3926"/>
      <c r="X200" s="3927"/>
      <c r="Y200" s="3928"/>
      <c r="Z200" s="3929"/>
      <c r="AA200" s="3930"/>
      <c r="AB200" s="3931"/>
      <c r="AC200" s="3932"/>
      <c r="AD200" s="3933"/>
      <c r="AE200" s="3934"/>
      <c r="AF200" s="3935"/>
      <c r="AG200" s="3936"/>
      <c r="AH200" s="3937"/>
      <c r="AI200" s="3938"/>
      <c r="AJ200" s="11794"/>
      <c r="AK200" s="11795"/>
      <c r="AL200" s="11796"/>
      <c r="AM200" s="11797"/>
      <c r="AN200" s="11798"/>
      <c r="AO200" s="11799"/>
      <c r="AP200" s="11800"/>
      <c r="AQ200" s="11801"/>
      <c r="AR200" s="11802"/>
      <c r="AS200" s="11803"/>
      <c r="AT200" s="11804"/>
      <c r="AU200" s="11805"/>
      <c r="AV200" s="11806"/>
      <c r="AW200" s="11807"/>
      <c r="AX200" s="11808"/>
      <c r="AY200" s="11809"/>
      <c r="AZ200" s="11810"/>
      <c r="BA200" s="11811"/>
      <c r="BB200" s="11812"/>
      <c r="BC200" s="11813"/>
      <c r="BD200" s="11814"/>
      <c r="BE200" s="11815"/>
      <c r="BF200" s="11816"/>
      <c r="BG200" s="11817"/>
      <c r="BH200" s="11818"/>
      <c r="BI200" s="11819"/>
      <c r="BJ200" s="11820"/>
      <c r="BK200" s="11821"/>
      <c r="BL200" s="11822"/>
      <c r="BM200" s="11823"/>
      <c r="BN200" s="11824"/>
      <c r="BO200" s="11825"/>
      <c r="BP200" s="11826"/>
      <c r="BQ200" s="11827"/>
      <c r="BR200" s="11828"/>
      <c r="BS200" s="11829"/>
      <c r="BT200" s="11830"/>
      <c r="BU200" s="11831"/>
      <c r="BV200" s="11832"/>
      <c r="BW200" s="11833"/>
      <c r="BX200" s="11834"/>
      <c r="BY200" s="11835"/>
      <c r="BZ200" s="11836"/>
      <c r="CA200" s="11837"/>
      <c r="CB200" s="11838"/>
      <c r="CC200" s="11839"/>
      <c r="CD200" s="11840"/>
      <c r="CE200" s="11841"/>
      <c r="CF200" s="11842"/>
      <c r="CG200" s="11843"/>
      <c r="CH200" s="11844"/>
      <c r="CI200" s="11845"/>
      <c r="CJ200" s="11846"/>
      <c r="CK200" s="11847"/>
      <c r="CL200" s="11848"/>
      <c r="CM200" s="12741"/>
      <c r="CN200" s="3946"/>
      <c r="CO200" s="3947"/>
      <c r="CP200" s="1649"/>
      <c r="CQ200" s="1631"/>
      <c r="CR200" s="1631" t="str">
        <f>IF(T200="","",T200)</f>
        <v>Добавить наименование признака дифференциации</v>
      </c>
      <c r="CS200" s="1631"/>
      <c r="CT200" s="1631"/>
      <c r="CU200" s="1642">
        <v>0</v>
      </c>
    </row>
    <row s="629" customFormat="1" customHeight="1" ht="14.25">
      <c r="A201" s="1350"/>
      <c r="B201" s="1350"/>
      <c r="C201" s="1350"/>
      <c r="D201" s="1350"/>
      <c r="E201" s="2266"/>
      <c r="F201" s="2265" t="s">
        <v>167</v>
      </c>
      <c r="G201" s="1350"/>
      <c r="H201" s="1350"/>
      <c r="I201" s="1350"/>
      <c r="J201" s="1350"/>
      <c r="K201" s="1350"/>
      <c r="L201" s="1552"/>
      <c r="M201" s="1328"/>
      <c r="N201" s="1328"/>
      <c r="O201" s="1649"/>
      <c r="P201" s="1323"/>
      <c r="Q201" s="1351"/>
      <c r="R201" s="1323"/>
      <c r="S201" s="1329"/>
      <c r="T201" s="1332" t="s">
        <v>316</v>
      </c>
      <c r="U201" s="1331"/>
      <c r="V201" s="1331"/>
      <c r="W201" s="1331"/>
      <c r="X201" s="1331"/>
      <c r="Y201" s="1331"/>
      <c r="Z201" s="1331"/>
      <c r="AA201" s="1331"/>
      <c r="AB201" s="1331"/>
      <c r="AC201" s="1331"/>
      <c r="AD201" s="1331"/>
      <c r="AE201" s="1331"/>
      <c r="AF201" s="1331"/>
      <c r="AG201" s="1331"/>
      <c r="AH201" s="1331"/>
      <c r="AI201" s="1331"/>
      <c r="AJ201" s="1331"/>
      <c r="AK201" s="1331"/>
      <c r="AL201" s="1331"/>
      <c r="AM201" s="1331"/>
      <c r="AN201" s="1331"/>
      <c r="AO201" s="1331"/>
      <c r="AP201" s="1331"/>
      <c r="AQ201" s="1331"/>
      <c r="AR201" s="1331"/>
      <c r="AS201" s="1331"/>
      <c r="AT201" s="1331"/>
      <c r="AU201" s="1331"/>
      <c r="AV201" s="1331"/>
      <c r="AW201" s="1331"/>
      <c r="AX201" s="1331"/>
      <c r="AY201" s="1331"/>
      <c r="AZ201" s="1331"/>
      <c r="BA201" s="1331"/>
      <c r="BB201" s="1331"/>
      <c r="BC201" s="1331"/>
      <c r="BD201" s="1331"/>
      <c r="BE201" s="1331"/>
      <c r="BF201" s="1331"/>
      <c r="BG201" s="1331"/>
      <c r="BH201" s="1331"/>
      <c r="BI201" s="1331"/>
      <c r="BJ201" s="1331"/>
      <c r="BK201" s="1331"/>
      <c r="BL201" s="1331"/>
      <c r="BM201" s="1331"/>
      <c r="BN201" s="1331"/>
      <c r="BO201" s="1331"/>
      <c r="BP201" s="1331"/>
      <c r="BQ201" s="1331"/>
      <c r="BR201" s="1331"/>
      <c r="BS201" s="1331"/>
      <c r="BT201" s="1331"/>
      <c r="BU201" s="1331"/>
      <c r="BV201" s="1331"/>
      <c r="BW201" s="1331"/>
      <c r="BX201" s="1331"/>
      <c r="BY201" s="1331"/>
      <c r="BZ201" s="1331"/>
      <c r="CA201" s="1331"/>
      <c r="CB201" s="1331"/>
      <c r="CC201" s="1331"/>
      <c r="CD201" s="1331"/>
      <c r="CE201" s="1331"/>
      <c r="CF201" s="1331"/>
      <c r="CG201" s="1331"/>
      <c r="CH201" s="1331"/>
      <c r="CI201" s="1331"/>
      <c r="CJ201" s="1331"/>
      <c r="CK201" s="1331"/>
      <c r="CL201" s="1331"/>
      <c r="CM201" s="1331"/>
      <c r="CN201" s="1331"/>
      <c r="CO201" s="1331"/>
      <c r="CP201" s="1649"/>
      <c r="CQ201" s="1631"/>
      <c r="CR201" s="1631" t="str">
        <f>IF(T201="","",T201)</f>
        <v>Добавить централизованную систему для дифференциации</v>
      </c>
      <c r="CS201" s="1631"/>
      <c r="CT201" s="1631"/>
      <c r="CU201" s="1649">
        <v>0</v>
      </c>
    </row>
    <row s="1857" customFormat="1" customHeight="1" ht="23.25">
      <c r="A202" s="1370"/>
      <c r="B202" s="1370" t="s">
        <v>371</v>
      </c>
      <c r="C202" s="1370"/>
      <c r="D202" s="1370"/>
      <c r="E202" s="2266"/>
      <c r="F202" s="2265" t="s">
        <v>177</v>
      </c>
      <c r="G202" s="1370"/>
      <c r="H202" s="1370"/>
      <c r="I202" s="1370"/>
      <c r="J202" s="1370"/>
      <c r="K202" s="1370"/>
      <c r="L202" s="1376"/>
      <c r="M202" s="1372"/>
      <c r="N202" s="1372"/>
      <c r="O202" s="1372"/>
      <c r="P202" s="2132"/>
      <c r="Q202" s="359"/>
      <c r="R202" s="360"/>
      <c r="S202" s="2280" t="str">
        <f>INDEX(PT_DIFFERENTIATION_NUM_TER,MATCH(B202,PT_DIFFERENTIATION_TER_ID,0))</f>
        <v>1.17</v>
      </c>
      <c r="T202" s="1529" t="s">
        <v>560</v>
      </c>
      <c r="U202" s="307"/>
      <c r="V202" s="2249"/>
      <c r="W202" s="2250"/>
      <c r="X202" s="2250"/>
      <c r="Y202" s="2250"/>
      <c r="Z202" s="2250"/>
      <c r="AA202" s="2250"/>
      <c r="AB202" s="2251"/>
      <c r="AC202" s="2249" t="str">
        <f>INDEX(PT_DIFFERENTIATION_TER,MATCH(B202,PT_DIFFERENTIATION_TER_ID,0))</f>
        <v>Территория 17</v>
      </c>
      <c r="AD202" s="2250"/>
      <c r="AE202" s="2250"/>
      <c r="AF202" s="2250"/>
      <c r="AG202" s="2250"/>
      <c r="AH202" s="2250"/>
      <c r="AI202" s="2250"/>
      <c r="AJ202" s="2249"/>
      <c r="AK202" s="2250"/>
      <c r="AL202" s="2250"/>
      <c r="AM202" s="2250"/>
      <c r="AN202" s="2250"/>
      <c r="AO202" s="2250"/>
      <c r="AP202" s="2251"/>
      <c r="AQ202" s="2249"/>
      <c r="AR202" s="2250"/>
      <c r="AS202" s="2250"/>
      <c r="AT202" s="2250"/>
      <c r="AU202" s="2250"/>
      <c r="AV202" s="2250"/>
      <c r="AW202" s="2251"/>
      <c r="AX202" s="2249"/>
      <c r="AY202" s="2250"/>
      <c r="AZ202" s="2250"/>
      <c r="BA202" s="2250"/>
      <c r="BB202" s="2250"/>
      <c r="BC202" s="2250"/>
      <c r="BD202" s="2251"/>
      <c r="BE202" s="2249"/>
      <c r="BF202" s="2250"/>
      <c r="BG202" s="2250"/>
      <c r="BH202" s="2250"/>
      <c r="BI202" s="2250"/>
      <c r="BJ202" s="2250"/>
      <c r="BK202" s="2251"/>
      <c r="BL202" s="2249"/>
      <c r="BM202" s="2250"/>
      <c r="BN202" s="2250"/>
      <c r="BO202" s="2250"/>
      <c r="BP202" s="2250"/>
      <c r="BQ202" s="2250"/>
      <c r="BR202" s="2251"/>
      <c r="BS202" s="2249"/>
      <c r="BT202" s="2250"/>
      <c r="BU202" s="2250"/>
      <c r="BV202" s="2250"/>
      <c r="BW202" s="2250"/>
      <c r="BX202" s="2250"/>
      <c r="BY202" s="2251"/>
      <c r="BZ202" s="2249"/>
      <c r="CA202" s="2250"/>
      <c r="CB202" s="2250"/>
      <c r="CC202" s="2250"/>
      <c r="CD202" s="2250"/>
      <c r="CE202" s="2250"/>
      <c r="CF202" s="2251"/>
      <c r="CG202" s="2249"/>
      <c r="CH202" s="2250"/>
      <c r="CI202" s="2250"/>
      <c r="CJ202" s="2250"/>
      <c r="CK202" s="2250"/>
      <c r="CL202" s="2250"/>
      <c r="CM202" s="4492"/>
      <c r="CN202" s="2251"/>
      <c r="CO202" s="1265" t="s">
        <v>561</v>
      </c>
      <c r="CP202" s="1649"/>
      <c r="CQ202" s="1631"/>
      <c r="CR202" s="1631" t="str">
        <f>IF(T202="","",T202)</f>
        <v>Территория действия тарифа</v>
      </c>
      <c r="CS202" s="1631"/>
      <c r="CT202" s="1631"/>
      <c r="CU202" s="1642">
        <v>0</v>
      </c>
    </row>
    <row s="1857" customFormat="1" customHeight="1" ht="23.25">
      <c r="A203" s="1370"/>
      <c r="B203" s="1370"/>
      <c r="C203" s="1370" t="s">
        <v>372</v>
      </c>
      <c r="D203" s="1370"/>
      <c r="E203" s="2266"/>
      <c r="F203" s="2266" t="s">
        <v>172</v>
      </c>
      <c r="G203" s="2265">
        <v>1</v>
      </c>
      <c r="H203" s="1370"/>
      <c r="I203" s="1370"/>
      <c r="J203" s="1370"/>
      <c r="K203" s="1370"/>
      <c r="L203" s="1376"/>
      <c r="M203" s="1372"/>
      <c r="N203" s="1372"/>
      <c r="O203" s="1372"/>
      <c r="P203" s="361"/>
      <c r="Q203" s="359"/>
      <c r="R203" s="360"/>
      <c r="S203" s="2280" t="str">
        <f>INDEX(PT_DIFFERENTIATION_NUM_CS,MATCH(C203,PT_DIFFERENTIATION_CS_ID,0))</f>
        <v>1.17.1</v>
      </c>
      <c r="T203" s="316" t="s">
        <v>641</v>
      </c>
      <c r="U203" s="307"/>
      <c r="V203" s="2249"/>
      <c r="W203" s="2250"/>
      <c r="X203" s="2250"/>
      <c r="Y203" s="2250"/>
      <c r="Z203" s="2250"/>
      <c r="AA203" s="2250"/>
      <c r="AB203" s="2251"/>
      <c r="AC203" s="2249" t="str">
        <f>INDEX(PT_DIFFERENTIATION_CS,MATCH(C203,PT_DIFFERENTIATION_CS_ID,0))</f>
        <v>Шебекинский район (г. шебекино, п. Графовка.)</v>
      </c>
      <c r="AD203" s="2250"/>
      <c r="AE203" s="2250"/>
      <c r="AF203" s="2250"/>
      <c r="AG203" s="2250"/>
      <c r="AH203" s="2250"/>
      <c r="AI203" s="2250"/>
      <c r="AJ203" s="2249"/>
      <c r="AK203" s="2250"/>
      <c r="AL203" s="2250"/>
      <c r="AM203" s="2250"/>
      <c r="AN203" s="2250"/>
      <c r="AO203" s="2250"/>
      <c r="AP203" s="2251"/>
      <c r="AQ203" s="2249"/>
      <c r="AR203" s="2250"/>
      <c r="AS203" s="2250"/>
      <c r="AT203" s="2250"/>
      <c r="AU203" s="2250"/>
      <c r="AV203" s="2250"/>
      <c r="AW203" s="2251"/>
      <c r="AX203" s="2249"/>
      <c r="AY203" s="2250"/>
      <c r="AZ203" s="2250"/>
      <c r="BA203" s="2250"/>
      <c r="BB203" s="2250"/>
      <c r="BC203" s="2250"/>
      <c r="BD203" s="2251"/>
      <c r="BE203" s="2249"/>
      <c r="BF203" s="2250"/>
      <c r="BG203" s="2250"/>
      <c r="BH203" s="2250"/>
      <c r="BI203" s="2250"/>
      <c r="BJ203" s="2250"/>
      <c r="BK203" s="2251"/>
      <c r="BL203" s="2249"/>
      <c r="BM203" s="2250"/>
      <c r="BN203" s="2250"/>
      <c r="BO203" s="2250"/>
      <c r="BP203" s="2250"/>
      <c r="BQ203" s="2250"/>
      <c r="BR203" s="2251"/>
      <c r="BS203" s="2249"/>
      <c r="BT203" s="2250"/>
      <c r="BU203" s="2250"/>
      <c r="BV203" s="2250"/>
      <c r="BW203" s="2250"/>
      <c r="BX203" s="2250"/>
      <c r="BY203" s="2251"/>
      <c r="BZ203" s="2249"/>
      <c r="CA203" s="2250"/>
      <c r="CB203" s="2250"/>
      <c r="CC203" s="2250"/>
      <c r="CD203" s="2250"/>
      <c r="CE203" s="2250"/>
      <c r="CF203" s="2251"/>
      <c r="CG203" s="2249"/>
      <c r="CH203" s="2250"/>
      <c r="CI203" s="2250"/>
      <c r="CJ203" s="2250"/>
      <c r="CK203" s="2250"/>
      <c r="CL203" s="2250"/>
      <c r="CM203" s="4492"/>
      <c r="CN203" s="2251"/>
      <c r="CO203" s="1265" t="s">
        <v>642</v>
      </c>
      <c r="CP203" s="1649"/>
      <c r="CQ203" s="1631"/>
      <c r="CR203" s="1631" t="str">
        <f>IF(T203="","",T203)</f>
        <v>Наименование централизованной системы холодного водоснабжения</v>
      </c>
      <c r="CS203" s="1631"/>
      <c r="CT203" s="1631"/>
      <c r="CU203" s="1642">
        <v>0</v>
      </c>
    </row>
    <row s="1857" customFormat="1" customHeight="1" ht="23.25">
      <c r="A204" s="1370"/>
      <c r="B204" s="1370"/>
      <c r="C204" s="1370"/>
      <c r="D204" s="1370"/>
      <c r="E204" s="2266"/>
      <c r="F204" s="2266" t="s">
        <v>172</v>
      </c>
      <c r="G204" s="2266"/>
      <c r="H204" s="2266"/>
      <c r="I204" s="2263" t="str">
        <f>S203&amp;".1"</f>
        <v>1.17.1.1</v>
      </c>
      <c r="J204" s="1370"/>
      <c r="K204" s="1370"/>
      <c r="L204" s="1376"/>
      <c r="M204" s="1783"/>
      <c r="N204" s="1783"/>
      <c r="O204" s="1783"/>
      <c r="P204" s="2381">
        <v>1</v>
      </c>
      <c r="Q204" s="2381"/>
      <c r="R204" s="363"/>
      <c r="S204" s="2280" t="str">
        <f>$I204</f>
        <v>1.17.1.1</v>
      </c>
      <c r="T204" s="292" t="s">
        <v>643</v>
      </c>
      <c r="U204" s="307"/>
      <c r="V204" s="2357"/>
      <c r="W204" s="2358"/>
      <c r="X204" s="2358"/>
      <c r="Y204" s="2358"/>
      <c r="Z204" s="2358"/>
      <c r="AA204" s="2358"/>
      <c r="AB204" s="2359"/>
      <c r="AC204" s="2360" t="s">
        <v>370</v>
      </c>
      <c r="AD204" s="2361"/>
      <c r="AE204" s="2361"/>
      <c r="AF204" s="2361"/>
      <c r="AG204" s="2361"/>
      <c r="AH204" s="2361"/>
      <c r="AI204" s="2361"/>
      <c r="AJ204" s="2357"/>
      <c r="AK204" s="2358"/>
      <c r="AL204" s="2358"/>
      <c r="AM204" s="2358"/>
      <c r="AN204" s="2358"/>
      <c r="AO204" s="2358"/>
      <c r="AP204" s="2359"/>
      <c r="AQ204" s="2357"/>
      <c r="AR204" s="2358"/>
      <c r="AS204" s="2358"/>
      <c r="AT204" s="2358"/>
      <c r="AU204" s="2358"/>
      <c r="AV204" s="2358"/>
      <c r="AW204" s="2359"/>
      <c r="AX204" s="2357"/>
      <c r="AY204" s="2358"/>
      <c r="AZ204" s="2358"/>
      <c r="BA204" s="2358"/>
      <c r="BB204" s="2358"/>
      <c r="BC204" s="2358"/>
      <c r="BD204" s="2359"/>
      <c r="BE204" s="2357"/>
      <c r="BF204" s="2358"/>
      <c r="BG204" s="2358"/>
      <c r="BH204" s="2358"/>
      <c r="BI204" s="2358"/>
      <c r="BJ204" s="2358"/>
      <c r="BK204" s="2359"/>
      <c r="BL204" s="2357"/>
      <c r="BM204" s="2358"/>
      <c r="BN204" s="2358"/>
      <c r="BO204" s="2358"/>
      <c r="BP204" s="2358"/>
      <c r="BQ204" s="2358"/>
      <c r="BR204" s="2359"/>
      <c r="BS204" s="2357"/>
      <c r="BT204" s="2358"/>
      <c r="BU204" s="2358"/>
      <c r="BV204" s="2358"/>
      <c r="BW204" s="2358"/>
      <c r="BX204" s="2358"/>
      <c r="BY204" s="2359"/>
      <c r="BZ204" s="2357"/>
      <c r="CA204" s="2358"/>
      <c r="CB204" s="2358"/>
      <c r="CC204" s="2358"/>
      <c r="CD204" s="2358"/>
      <c r="CE204" s="2358"/>
      <c r="CF204" s="2359"/>
      <c r="CG204" s="2357"/>
      <c r="CH204" s="2358"/>
      <c r="CI204" s="2358"/>
      <c r="CJ204" s="2358"/>
      <c r="CK204" s="2358"/>
      <c r="CL204" s="2358"/>
      <c r="CM204" s="4495"/>
      <c r="CN204" s="2362"/>
      <c r="CO204" s="1265" t="s">
        <v>644</v>
      </c>
      <c r="CP204" s="1649"/>
      <c r="CQ204" s="1631"/>
      <c r="CR204" s="1631" t="str">
        <f>IF(T204="","",T204)</f>
        <v>Наименование признака дифференциации</v>
      </c>
      <c r="CS204" s="1631"/>
      <c r="CT204" s="1631"/>
      <c r="CU204" s="1642">
        <v>0</v>
      </c>
    </row>
    <row s="1857" customFormat="1" customHeight="1" ht="23.25">
      <c r="A205" s="1370"/>
      <c r="B205" s="1370"/>
      <c r="C205" s="1370"/>
      <c r="D205" s="1370"/>
      <c r="E205" s="2266"/>
      <c r="F205" s="2266" t="s">
        <v>172</v>
      </c>
      <c r="G205" s="2266"/>
      <c r="H205" s="2266"/>
      <c r="I205" s="2293"/>
      <c r="J205" s="2263" t="str">
        <f>I204&amp;".1"</f>
        <v>1.17.1.1.1</v>
      </c>
      <c r="K205" s="1370"/>
      <c r="L205" s="1376" t="s">
        <v>569</v>
      </c>
      <c r="M205" s="1783"/>
      <c r="N205" s="1783"/>
      <c r="O205" s="1783"/>
      <c r="P205" s="2381"/>
      <c r="Q205" s="2381">
        <v>1</v>
      </c>
      <c r="R205" s="364"/>
      <c r="S205" s="2280" t="str">
        <f>$J205</f>
        <v>1.17.1.1.1</v>
      </c>
      <c r="T205" s="293" t="s">
        <v>570</v>
      </c>
      <c r="U205" s="307"/>
      <c r="V205" s="2252"/>
      <c r="W205" s="2253"/>
      <c r="X205" s="2253"/>
      <c r="Y205" s="2253"/>
      <c r="Z205" s="2253"/>
      <c r="AA205" s="2253"/>
      <c r="AB205" s="2254"/>
      <c r="AC205" s="2252" t="s">
        <v>656</v>
      </c>
      <c r="AD205" s="2253"/>
      <c r="AE205" s="2253"/>
      <c r="AF205" s="2253"/>
      <c r="AG205" s="2253"/>
      <c r="AH205" s="2253"/>
      <c r="AI205" s="2253"/>
      <c r="AJ205" s="2252"/>
      <c r="AK205" s="2253"/>
      <c r="AL205" s="2253"/>
      <c r="AM205" s="2253"/>
      <c r="AN205" s="2253"/>
      <c r="AO205" s="2253"/>
      <c r="AP205" s="2254"/>
      <c r="AQ205" s="2252"/>
      <c r="AR205" s="2253"/>
      <c r="AS205" s="2253"/>
      <c r="AT205" s="2253"/>
      <c r="AU205" s="2253"/>
      <c r="AV205" s="2253"/>
      <c r="AW205" s="2254"/>
      <c r="AX205" s="2252"/>
      <c r="AY205" s="2253"/>
      <c r="AZ205" s="2253"/>
      <c r="BA205" s="2253"/>
      <c r="BB205" s="2253"/>
      <c r="BC205" s="2253"/>
      <c r="BD205" s="2254"/>
      <c r="BE205" s="2252"/>
      <c r="BF205" s="2253"/>
      <c r="BG205" s="2253"/>
      <c r="BH205" s="2253"/>
      <c r="BI205" s="2253"/>
      <c r="BJ205" s="2253"/>
      <c r="BK205" s="2254"/>
      <c r="BL205" s="2252"/>
      <c r="BM205" s="2253"/>
      <c r="BN205" s="2253"/>
      <c r="BO205" s="2253"/>
      <c r="BP205" s="2253"/>
      <c r="BQ205" s="2253"/>
      <c r="BR205" s="2254"/>
      <c r="BS205" s="2252"/>
      <c r="BT205" s="2253"/>
      <c r="BU205" s="2253"/>
      <c r="BV205" s="2253"/>
      <c r="BW205" s="2253"/>
      <c r="BX205" s="2253"/>
      <c r="BY205" s="2254"/>
      <c r="BZ205" s="2252"/>
      <c r="CA205" s="2253"/>
      <c r="CB205" s="2253"/>
      <c r="CC205" s="2253"/>
      <c r="CD205" s="2253"/>
      <c r="CE205" s="2253"/>
      <c r="CF205" s="2254"/>
      <c r="CG205" s="2252"/>
      <c r="CH205" s="2253"/>
      <c r="CI205" s="2253"/>
      <c r="CJ205" s="2253"/>
      <c r="CK205" s="2253"/>
      <c r="CL205" s="2253"/>
      <c r="CM205" s="4498"/>
      <c r="CN205" s="2254"/>
      <c r="CO205" s="1314" t="s">
        <v>645</v>
      </c>
      <c r="CP205" s="1649"/>
      <c r="CQ205" s="1631"/>
      <c r="CR205" s="1631" t="str">
        <f>IF(T205="","",T205)</f>
        <v>Группа потребителей</v>
      </c>
      <c r="CS205" s="1631"/>
      <c r="CT205" s="1631"/>
      <c r="CU205" s="1642">
        <v>0</v>
      </c>
    </row>
    <row s="1857" customFormat="1" customHeight="1" ht="23.25">
      <c r="A206" s="1370"/>
      <c r="B206" s="1370"/>
      <c r="C206" s="1370"/>
      <c r="D206" s="1370"/>
      <c r="E206" s="2266"/>
      <c r="F206" s="2266" t="s">
        <v>172</v>
      </c>
      <c r="G206" s="2266"/>
      <c r="H206" s="2266"/>
      <c r="I206" s="2293"/>
      <c r="J206" s="2293"/>
      <c r="K206" s="2263" t="str">
        <f>J205&amp;".1"</f>
        <v>1.17.1.1.1.1</v>
      </c>
      <c r="L206" s="1376"/>
      <c r="M206" s="1783"/>
      <c r="N206" s="1783"/>
      <c r="O206" s="1783"/>
      <c r="P206" s="2381"/>
      <c r="Q206" s="2381"/>
      <c r="R206" s="364">
        <v>1</v>
      </c>
      <c r="S206" s="2280" t="str">
        <f>$K206</f>
        <v>1.17.1.1.1.1</v>
      </c>
      <c r="T206" s="1444" t="s">
        <v>657</v>
      </c>
      <c r="U206" s="307"/>
      <c r="V206" s="758"/>
      <c r="W206" s="758"/>
      <c r="X206" s="1264"/>
      <c r="Y206" s="2609"/>
      <c r="Z206" s="2114" t="s">
        <v>66</v>
      </c>
      <c r="AA206" s="2609"/>
      <c r="AB206" s="2114" t="s">
        <v>66</v>
      </c>
      <c r="AC206" s="758">
        <v>24.55</v>
      </c>
      <c r="AD206" s="758"/>
      <c r="AE206" s="1264"/>
      <c r="AF206" s="2609">
        <v>44896</v>
      </c>
      <c r="AG206" s="2114" t="s">
        <v>66</v>
      </c>
      <c r="AH206" s="2294">
        <v>45291</v>
      </c>
      <c r="AI206" s="2114" t="s">
        <v>66</v>
      </c>
      <c r="AJ206" s="758">
        <v>24.55</v>
      </c>
      <c r="AK206" s="758"/>
      <c r="AL206" s="1264"/>
      <c r="AM206" s="2609">
        <v>45292</v>
      </c>
      <c r="AN206" s="2114" t="s">
        <v>66</v>
      </c>
      <c r="AO206" s="2609">
        <v>45473</v>
      </c>
      <c r="AP206" s="2114" t="s">
        <v>66</v>
      </c>
      <c r="AQ206" s="758">
        <v>27.99</v>
      </c>
      <c r="AR206" s="758"/>
      <c r="AS206" s="1264"/>
      <c r="AT206" s="2609">
        <v>45474</v>
      </c>
      <c r="AU206" s="2114" t="s">
        <v>66</v>
      </c>
      <c r="AV206" s="2609">
        <v>45657</v>
      </c>
      <c r="AW206" s="2114" t="s">
        <v>66</v>
      </c>
      <c r="AX206" s="758">
        <v>27.99</v>
      </c>
      <c r="AY206" s="758"/>
      <c r="AZ206" s="1264"/>
      <c r="BA206" s="2609">
        <v>45658</v>
      </c>
      <c r="BB206" s="2114" t="s">
        <v>66</v>
      </c>
      <c r="BC206" s="2609">
        <v>45838</v>
      </c>
      <c r="BD206" s="2114" t="s">
        <v>66</v>
      </c>
      <c r="BE206" s="758">
        <v>121.6</v>
      </c>
      <c r="BF206" s="758"/>
      <c r="BG206" s="1264"/>
      <c r="BH206" s="2609">
        <v>45839</v>
      </c>
      <c r="BI206" s="2114" t="s">
        <v>66</v>
      </c>
      <c r="BJ206" s="2609">
        <v>46022</v>
      </c>
      <c r="BK206" s="2114" t="s">
        <v>66</v>
      </c>
      <c r="BL206" s="758">
        <v>26.55</v>
      </c>
      <c r="BM206" s="758"/>
      <c r="BN206" s="1264"/>
      <c r="BO206" s="2609">
        <v>46023</v>
      </c>
      <c r="BP206" s="2114" t="s">
        <v>66</v>
      </c>
      <c r="BQ206" s="2609">
        <v>46203</v>
      </c>
      <c r="BR206" s="2114" t="s">
        <v>66</v>
      </c>
      <c r="BS206" s="758">
        <v>27.96</v>
      </c>
      <c r="BT206" s="758"/>
      <c r="BU206" s="1264"/>
      <c r="BV206" s="2609">
        <v>46204</v>
      </c>
      <c r="BW206" s="2114" t="s">
        <v>66</v>
      </c>
      <c r="BX206" s="2609">
        <v>46387</v>
      </c>
      <c r="BY206" s="2114" t="s">
        <v>66</v>
      </c>
      <c r="BZ206" s="758">
        <v>27.96</v>
      </c>
      <c r="CA206" s="758"/>
      <c r="CB206" s="1264"/>
      <c r="CC206" s="2609">
        <v>46388</v>
      </c>
      <c r="CD206" s="2114" t="s">
        <v>66</v>
      </c>
      <c r="CE206" s="2609">
        <v>46568</v>
      </c>
      <c r="CF206" s="2114" t="s">
        <v>66</v>
      </c>
      <c r="CG206" s="758">
        <v>28.39</v>
      </c>
      <c r="CH206" s="758"/>
      <c r="CI206" s="1264"/>
      <c r="CJ206" s="2609">
        <v>46569</v>
      </c>
      <c r="CK206" s="2114" t="s">
        <v>66</v>
      </c>
      <c r="CL206" s="2609">
        <v>46752</v>
      </c>
      <c r="CM206" s="2114" t="s">
        <v>66</v>
      </c>
      <c r="CN206" s="1445"/>
      <c r="CO20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206" s="1649">
        <f>STRCHECKDATE(V207:CN207)</f>
      </c>
      <c r="CQ206" s="1631"/>
      <c r="CR206" s="1631" t="str">
        <f>IF(T206="","",T206)</f>
        <v>Тариф по водоснабжению без НДС</v>
      </c>
      <c r="CS206" s="1631"/>
      <c r="CT206" s="1631"/>
      <c r="CU206" s="1642">
        <v>0</v>
      </c>
    </row>
    <row s="1857" customFormat="1" customHeight="1" ht="14.25">
      <c r="A207" s="1370"/>
      <c r="B207" s="1370"/>
      <c r="C207" s="1370"/>
      <c r="D207" s="1370"/>
      <c r="E207" s="2266"/>
      <c r="F207" s="2266" t="s">
        <v>172</v>
      </c>
      <c r="G207" s="2266"/>
      <c r="H207" s="2266"/>
      <c r="I207" s="2293"/>
      <c r="J207" s="2293"/>
      <c r="K207" s="2263"/>
      <c r="L207" s="1376"/>
      <c r="M207" s="1783"/>
      <c r="N207" s="1783"/>
      <c r="O207" s="1783"/>
      <c r="P207" s="2381"/>
      <c r="Q207" s="2381"/>
      <c r="R207" s="364"/>
      <c r="S207" s="2520"/>
      <c r="T207" s="307"/>
      <c r="U207" s="307"/>
      <c r="V207" s="332"/>
      <c r="W207" s="332"/>
      <c r="X207" s="335" t="str">
        <f>Y206&amp;"-"&amp;AA206</f>
        <v>-</v>
      </c>
      <c r="Y207" s="2316"/>
      <c r="Z207" s="2114"/>
      <c r="AA207" s="2316"/>
      <c r="AB207" s="2114"/>
      <c r="AC207" s="332"/>
      <c r="AD207" s="332"/>
      <c r="AE207" s="335" t="str">
        <f>AF206&amp;"-"&amp;AH206</f>
        <v>44896-45291</v>
      </c>
      <c r="AF207" s="2316"/>
      <c r="AG207" s="2114"/>
      <c r="AH207" s="2295"/>
      <c r="AI207" s="2114"/>
      <c r="AJ207" s="332"/>
      <c r="AK207" s="332"/>
      <c r="AL207" s="335" t="str">
        <f>AM206&amp;"-"&amp;AO206</f>
        <v>45292-45473</v>
      </c>
      <c r="AM207" s="2316"/>
      <c r="AN207" s="2114"/>
      <c r="AO207" s="2316"/>
      <c r="AP207" s="2114"/>
      <c r="AQ207" s="332"/>
      <c r="AR207" s="332"/>
      <c r="AS207" s="335" t="str">
        <f>AT206&amp;"-"&amp;AV206</f>
        <v>45474-45657</v>
      </c>
      <c r="AT207" s="2316"/>
      <c r="AU207" s="2114"/>
      <c r="AV207" s="2316"/>
      <c r="AW207" s="2114"/>
      <c r="AX207" s="332"/>
      <c r="AY207" s="332"/>
      <c r="AZ207" s="335" t="str">
        <f>BA206&amp;"-"&amp;BC206</f>
        <v>45658-45838</v>
      </c>
      <c r="BA207" s="2316"/>
      <c r="BB207" s="2114"/>
      <c r="BC207" s="2316"/>
      <c r="BD207" s="2114"/>
      <c r="BE207" s="332"/>
      <c r="BF207" s="332"/>
      <c r="BG207" s="335" t="str">
        <f>BH206&amp;"-"&amp;BJ206</f>
        <v>45839-46022</v>
      </c>
      <c r="BH207" s="2316"/>
      <c r="BI207" s="2114"/>
      <c r="BJ207" s="2316"/>
      <c r="BK207" s="2114"/>
      <c r="BL207" s="332"/>
      <c r="BM207" s="332"/>
      <c r="BN207" s="335" t="str">
        <f>BO206&amp;"-"&amp;BQ206</f>
        <v>46023-46203</v>
      </c>
      <c r="BO207" s="2316"/>
      <c r="BP207" s="2114"/>
      <c r="BQ207" s="2316"/>
      <c r="BR207" s="2114"/>
      <c r="BS207" s="332"/>
      <c r="BT207" s="332"/>
      <c r="BU207" s="335" t="str">
        <f>BV206&amp;"-"&amp;BX206</f>
        <v>46204-46387</v>
      </c>
      <c r="BV207" s="2316"/>
      <c r="BW207" s="2114"/>
      <c r="BX207" s="2316"/>
      <c r="BY207" s="2114"/>
      <c r="BZ207" s="332"/>
      <c r="CA207" s="332"/>
      <c r="CB207" s="335" t="str">
        <f>CC206&amp;"-"&amp;CE206</f>
        <v>46388-46568</v>
      </c>
      <c r="CC207" s="2316"/>
      <c r="CD207" s="2114"/>
      <c r="CE207" s="2316"/>
      <c r="CF207" s="2114"/>
      <c r="CG207" s="332"/>
      <c r="CH207" s="332"/>
      <c r="CI207" s="335" t="str">
        <f>CJ206&amp;"-"&amp;CL206</f>
        <v>46569-46752</v>
      </c>
      <c r="CJ207" s="2316"/>
      <c r="CK207" s="2114"/>
      <c r="CL207" s="2316"/>
      <c r="CM207" s="2114"/>
      <c r="CN207" s="1446"/>
      <c r="CO207" s="2356"/>
      <c r="CP207" s="1649"/>
      <c r="CQ207" s="1631"/>
      <c r="CR207" s="1631" t="str">
        <f>IF(T207="","",T207)</f>
        <v/>
      </c>
      <c r="CS207" s="1631"/>
      <c r="CT207" s="1631"/>
      <c r="CU207" s="1642">
        <v>0</v>
      </c>
    </row>
    <row s="1857" customFormat="1" customHeight="1" ht="21">
      <c r="A208" s="1370"/>
      <c r="B208" s="1370"/>
      <c r="C208" s="1370"/>
      <c r="D208" s="1370"/>
      <c r="E208" s="2266"/>
      <c r="F208" s="2266" t="s">
        <v>172</v>
      </c>
      <c r="G208" s="2266"/>
      <c r="H208" s="2266"/>
      <c r="I208" s="2293"/>
      <c r="J208" s="2263"/>
      <c r="K208" s="1370"/>
      <c r="L208" s="1376"/>
      <c r="M208" s="1783"/>
      <c r="N208" s="1783"/>
      <c r="O208" s="1783"/>
      <c r="P208" s="2381"/>
      <c r="Q208" s="2381"/>
      <c r="R208" s="363"/>
      <c r="S208" s="3948"/>
      <c r="T208" s="3949" t="s">
        <v>646</v>
      </c>
      <c r="U208" s="3950"/>
      <c r="V208" s="3951"/>
      <c r="W208" s="3952"/>
      <c r="X208" s="3953"/>
      <c r="Y208" s="3954"/>
      <c r="Z208" s="3955"/>
      <c r="AA208" s="3956"/>
      <c r="AB208" s="3957"/>
      <c r="AC208" s="3958"/>
      <c r="AD208" s="3959"/>
      <c r="AE208" s="3960"/>
      <c r="AF208" s="3961"/>
      <c r="AG208" s="3962"/>
      <c r="AH208" s="3963"/>
      <c r="AI208" s="3964"/>
      <c r="AJ208" s="11850"/>
      <c r="AK208" s="11851"/>
      <c r="AL208" s="11852"/>
      <c r="AM208" s="11853"/>
      <c r="AN208" s="11854"/>
      <c r="AO208" s="11855"/>
      <c r="AP208" s="11856"/>
      <c r="AQ208" s="11857"/>
      <c r="AR208" s="11858"/>
      <c r="AS208" s="11859"/>
      <c r="AT208" s="11860"/>
      <c r="AU208" s="11861"/>
      <c r="AV208" s="11862"/>
      <c r="AW208" s="11863"/>
      <c r="AX208" s="11864"/>
      <c r="AY208" s="11865"/>
      <c r="AZ208" s="11866"/>
      <c r="BA208" s="11867"/>
      <c r="BB208" s="11868"/>
      <c r="BC208" s="11869"/>
      <c r="BD208" s="11870"/>
      <c r="BE208" s="11871"/>
      <c r="BF208" s="11872"/>
      <c r="BG208" s="11873"/>
      <c r="BH208" s="11874"/>
      <c r="BI208" s="11875"/>
      <c r="BJ208" s="11876"/>
      <c r="BK208" s="11877"/>
      <c r="BL208" s="11878"/>
      <c r="BM208" s="11879"/>
      <c r="BN208" s="11880"/>
      <c r="BO208" s="11881"/>
      <c r="BP208" s="11882"/>
      <c r="BQ208" s="11883"/>
      <c r="BR208" s="11884"/>
      <c r="BS208" s="11885"/>
      <c r="BT208" s="11886"/>
      <c r="BU208" s="11887"/>
      <c r="BV208" s="11888"/>
      <c r="BW208" s="11889"/>
      <c r="BX208" s="11890"/>
      <c r="BY208" s="11891"/>
      <c r="BZ208" s="11892"/>
      <c r="CA208" s="11893"/>
      <c r="CB208" s="11894"/>
      <c r="CC208" s="11895"/>
      <c r="CD208" s="11896"/>
      <c r="CE208" s="11897"/>
      <c r="CF208" s="11898"/>
      <c r="CG208" s="11899"/>
      <c r="CH208" s="11900"/>
      <c r="CI208" s="11901"/>
      <c r="CJ208" s="11902"/>
      <c r="CK208" s="11903"/>
      <c r="CL208" s="11904"/>
      <c r="CM208" s="12742"/>
      <c r="CN208" s="3972"/>
      <c r="CO208" s="1265" t="s">
        <v>647</v>
      </c>
      <c r="CP208" s="1649"/>
      <c r="CQ208" s="1631"/>
      <c r="CR208" s="1631" t="str">
        <f>IF(T208="","",T208)</f>
        <v>Добавить значение признака дифференциации</v>
      </c>
      <c r="CS208" s="1631"/>
      <c r="CT208" s="1631"/>
      <c r="CU208" s="1642">
        <v>0</v>
      </c>
    </row>
    <row s="1857" customFormat="1" customHeight="1" ht="21">
      <c r="A209" s="1370"/>
      <c r="B209" s="1370"/>
      <c r="C209" s="1370"/>
      <c r="D209" s="1370"/>
      <c r="E209" s="2266"/>
      <c r="F209" s="2266" t="s">
        <v>172</v>
      </c>
      <c r="G209" s="2266"/>
      <c r="H209" s="2266"/>
      <c r="I209" s="2263"/>
      <c r="J209" s="1370"/>
      <c r="K209" s="1370"/>
      <c r="L209" s="1376"/>
      <c r="M209" s="1783"/>
      <c r="N209" s="1783"/>
      <c r="O209" s="1783"/>
      <c r="P209" s="2381"/>
      <c r="Q209" s="2381"/>
      <c r="R209" s="363"/>
      <c r="S209" s="3973"/>
      <c r="T209" s="3974" t="s">
        <v>575</v>
      </c>
      <c r="U209" s="3975"/>
      <c r="V209" s="3976"/>
      <c r="W209" s="3977"/>
      <c r="X209" s="3978"/>
      <c r="Y209" s="3979"/>
      <c r="Z209" s="3980"/>
      <c r="AA209" s="3981"/>
      <c r="AB209" s="3982"/>
      <c r="AC209" s="3983"/>
      <c r="AD209" s="3984"/>
      <c r="AE209" s="3985"/>
      <c r="AF209" s="3986"/>
      <c r="AG209" s="3987"/>
      <c r="AH209" s="3988"/>
      <c r="AI209" s="3989"/>
      <c r="AJ209" s="11906"/>
      <c r="AK209" s="11907"/>
      <c r="AL209" s="11908"/>
      <c r="AM209" s="11909"/>
      <c r="AN209" s="11910"/>
      <c r="AO209" s="11911"/>
      <c r="AP209" s="11912"/>
      <c r="AQ209" s="11913"/>
      <c r="AR209" s="11914"/>
      <c r="AS209" s="11915"/>
      <c r="AT209" s="11916"/>
      <c r="AU209" s="11917"/>
      <c r="AV209" s="11918"/>
      <c r="AW209" s="11919"/>
      <c r="AX209" s="11920"/>
      <c r="AY209" s="11921"/>
      <c r="AZ209" s="11922"/>
      <c r="BA209" s="11923"/>
      <c r="BB209" s="11924"/>
      <c r="BC209" s="11925"/>
      <c r="BD209" s="11926"/>
      <c r="BE209" s="11927"/>
      <c r="BF209" s="11928"/>
      <c r="BG209" s="11929"/>
      <c r="BH209" s="11930"/>
      <c r="BI209" s="11931"/>
      <c r="BJ209" s="11932"/>
      <c r="BK209" s="11933"/>
      <c r="BL209" s="11934"/>
      <c r="BM209" s="11935"/>
      <c r="BN209" s="11936"/>
      <c r="BO209" s="11937"/>
      <c r="BP209" s="11938"/>
      <c r="BQ209" s="11939"/>
      <c r="BR209" s="11940"/>
      <c r="BS209" s="11941"/>
      <c r="BT209" s="11942"/>
      <c r="BU209" s="11943"/>
      <c r="BV209" s="11944"/>
      <c r="BW209" s="11945"/>
      <c r="BX209" s="11946"/>
      <c r="BY209" s="11947"/>
      <c r="BZ209" s="11948"/>
      <c r="CA209" s="11949"/>
      <c r="CB209" s="11950"/>
      <c r="CC209" s="11951"/>
      <c r="CD209" s="11952"/>
      <c r="CE209" s="11953"/>
      <c r="CF209" s="11954"/>
      <c r="CG209" s="11955"/>
      <c r="CH209" s="11956"/>
      <c r="CI209" s="11957"/>
      <c r="CJ209" s="11958"/>
      <c r="CK209" s="11959"/>
      <c r="CL209" s="11960"/>
      <c r="CM209" s="12743"/>
      <c r="CN209" s="3997"/>
      <c r="CO209" s="3998"/>
      <c r="CP209" s="1649"/>
      <c r="CQ209" s="1631"/>
      <c r="CR209" s="1631" t="str">
        <f>IF(T209="","",T209)</f>
        <v>Добавить группу потребителей</v>
      </c>
      <c r="CS209" s="1631"/>
      <c r="CT209" s="1631"/>
      <c r="CU209" s="1642">
        <v>0</v>
      </c>
    </row>
    <row s="1857" customFormat="1" customHeight="1" ht="14.25">
      <c r="A210" s="1370"/>
      <c r="B210" s="1370"/>
      <c r="C210" s="1370"/>
      <c r="D210" s="1370"/>
      <c r="E210" s="2266"/>
      <c r="F210" s="2266" t="s">
        <v>172</v>
      </c>
      <c r="G210" s="2266"/>
      <c r="H210" s="2265"/>
      <c r="I210" s="1370"/>
      <c r="J210" s="1370"/>
      <c r="K210" s="1370"/>
      <c r="L210" s="1376"/>
      <c r="M210" s="1372"/>
      <c r="N210" s="1372"/>
      <c r="O210" s="1373"/>
      <c r="P210" s="1830"/>
      <c r="Q210" s="382"/>
      <c r="R210" s="362"/>
      <c r="S210" s="3999"/>
      <c r="T210" s="4000" t="s">
        <v>648</v>
      </c>
      <c r="U210" s="4001"/>
      <c r="V210" s="4002"/>
      <c r="W210" s="4003"/>
      <c r="X210" s="4004"/>
      <c r="Y210" s="4005"/>
      <c r="Z210" s="4006"/>
      <c r="AA210" s="4007"/>
      <c r="AB210" s="4008"/>
      <c r="AC210" s="4009"/>
      <c r="AD210" s="4010"/>
      <c r="AE210" s="4011"/>
      <c r="AF210" s="4012"/>
      <c r="AG210" s="4013"/>
      <c r="AH210" s="4014"/>
      <c r="AI210" s="4015"/>
      <c r="AJ210" s="11962"/>
      <c r="AK210" s="11963"/>
      <c r="AL210" s="11964"/>
      <c r="AM210" s="11965"/>
      <c r="AN210" s="11966"/>
      <c r="AO210" s="11967"/>
      <c r="AP210" s="11968"/>
      <c r="AQ210" s="11969"/>
      <c r="AR210" s="11970"/>
      <c r="AS210" s="11971"/>
      <c r="AT210" s="11972"/>
      <c r="AU210" s="11973"/>
      <c r="AV210" s="11974"/>
      <c r="AW210" s="11975"/>
      <c r="AX210" s="11976"/>
      <c r="AY210" s="11977"/>
      <c r="AZ210" s="11978"/>
      <c r="BA210" s="11979"/>
      <c r="BB210" s="11980"/>
      <c r="BC210" s="11981"/>
      <c r="BD210" s="11982"/>
      <c r="BE210" s="11983"/>
      <c r="BF210" s="11984"/>
      <c r="BG210" s="11985"/>
      <c r="BH210" s="11986"/>
      <c r="BI210" s="11987"/>
      <c r="BJ210" s="11988"/>
      <c r="BK210" s="11989"/>
      <c r="BL210" s="11990"/>
      <c r="BM210" s="11991"/>
      <c r="BN210" s="11992"/>
      <c r="BO210" s="11993"/>
      <c r="BP210" s="11994"/>
      <c r="BQ210" s="11995"/>
      <c r="BR210" s="11996"/>
      <c r="BS210" s="11997"/>
      <c r="BT210" s="11998"/>
      <c r="BU210" s="11999"/>
      <c r="BV210" s="12000"/>
      <c r="BW210" s="12001"/>
      <c r="BX210" s="12002"/>
      <c r="BY210" s="12003"/>
      <c r="BZ210" s="12004"/>
      <c r="CA210" s="12005"/>
      <c r="CB210" s="12006"/>
      <c r="CC210" s="12007"/>
      <c r="CD210" s="12008"/>
      <c r="CE210" s="12009"/>
      <c r="CF210" s="12010"/>
      <c r="CG210" s="12011"/>
      <c r="CH210" s="12012"/>
      <c r="CI210" s="12013"/>
      <c r="CJ210" s="12014"/>
      <c r="CK210" s="12015"/>
      <c r="CL210" s="12016"/>
      <c r="CM210" s="12744"/>
      <c r="CN210" s="4023"/>
      <c r="CO210" s="4024"/>
      <c r="CP210" s="1649"/>
      <c r="CQ210" s="1631"/>
      <c r="CR210" s="1631" t="str">
        <f>IF(T210="","",T210)</f>
        <v>Добавить наименование признака дифференциации</v>
      </c>
      <c r="CS210" s="1631"/>
      <c r="CT210" s="1631"/>
      <c r="CU210" s="1642">
        <v>0</v>
      </c>
    </row>
    <row s="629" customFormat="1" customHeight="1" ht="14.25">
      <c r="A211" s="1350"/>
      <c r="B211" s="1350"/>
      <c r="C211" s="1350"/>
      <c r="D211" s="1350"/>
      <c r="E211" s="2266"/>
      <c r="F211" s="2265" t="s">
        <v>172</v>
      </c>
      <c r="G211" s="1350"/>
      <c r="H211" s="1350"/>
      <c r="I211" s="1350"/>
      <c r="J211" s="1350"/>
      <c r="K211" s="1350"/>
      <c r="L211" s="1552"/>
      <c r="M211" s="1328"/>
      <c r="N211" s="1328"/>
      <c r="O211" s="1649"/>
      <c r="P211" s="1323"/>
      <c r="Q211" s="1351"/>
      <c r="R211" s="1323"/>
      <c r="S211" s="1329"/>
      <c r="T211" s="1332" t="s">
        <v>316</v>
      </c>
      <c r="U211" s="1331"/>
      <c r="V211" s="1331"/>
      <c r="W211" s="1331"/>
      <c r="X211" s="1331"/>
      <c r="Y211" s="1331"/>
      <c r="Z211" s="1331"/>
      <c r="AA211" s="1331"/>
      <c r="AB211" s="1331"/>
      <c r="AC211" s="1331"/>
      <c r="AD211" s="1331"/>
      <c r="AE211" s="1331"/>
      <c r="AF211" s="1331"/>
      <c r="AG211" s="1331"/>
      <c r="AH211" s="1331"/>
      <c r="AI211" s="1331"/>
      <c r="AJ211" s="1331"/>
      <c r="AK211" s="1331"/>
      <c r="AL211" s="1331"/>
      <c r="AM211" s="1331"/>
      <c r="AN211" s="1331"/>
      <c r="AO211" s="1331"/>
      <c r="AP211" s="1331"/>
      <c r="AQ211" s="1331"/>
      <c r="AR211" s="1331"/>
      <c r="AS211" s="1331"/>
      <c r="AT211" s="1331"/>
      <c r="AU211" s="1331"/>
      <c r="AV211" s="1331"/>
      <c r="AW211" s="1331"/>
      <c r="AX211" s="1331"/>
      <c r="AY211" s="1331"/>
      <c r="AZ211" s="1331"/>
      <c r="BA211" s="1331"/>
      <c r="BB211" s="1331"/>
      <c r="BC211" s="1331"/>
      <c r="BD211" s="1331"/>
      <c r="BE211" s="1331"/>
      <c r="BF211" s="1331"/>
      <c r="BG211" s="1331"/>
      <c r="BH211" s="1331"/>
      <c r="BI211" s="1331"/>
      <c r="BJ211" s="1331"/>
      <c r="BK211" s="1331"/>
      <c r="BL211" s="1331"/>
      <c r="BM211" s="1331"/>
      <c r="BN211" s="1331"/>
      <c r="BO211" s="1331"/>
      <c r="BP211" s="1331"/>
      <c r="BQ211" s="1331"/>
      <c r="BR211" s="1331"/>
      <c r="BS211" s="1331"/>
      <c r="BT211" s="1331"/>
      <c r="BU211" s="1331"/>
      <c r="BV211" s="1331"/>
      <c r="BW211" s="1331"/>
      <c r="BX211" s="1331"/>
      <c r="BY211" s="1331"/>
      <c r="BZ211" s="1331"/>
      <c r="CA211" s="1331"/>
      <c r="CB211" s="1331"/>
      <c r="CC211" s="1331"/>
      <c r="CD211" s="1331"/>
      <c r="CE211" s="1331"/>
      <c r="CF211" s="1331"/>
      <c r="CG211" s="1331"/>
      <c r="CH211" s="1331"/>
      <c r="CI211" s="1331"/>
      <c r="CJ211" s="1331"/>
      <c r="CK211" s="1331"/>
      <c r="CL211" s="1331"/>
      <c r="CM211" s="1331"/>
      <c r="CN211" s="1331"/>
      <c r="CO211" s="1331"/>
      <c r="CP211" s="1649"/>
      <c r="CQ211" s="1631"/>
      <c r="CR211" s="1631" t="str">
        <f>IF(T211="","",T211)</f>
        <v>Добавить централизованную систему для дифференциации</v>
      </c>
      <c r="CS211" s="1631"/>
      <c r="CT211" s="1631"/>
      <c r="CU211" s="1649">
        <v>0</v>
      </c>
    </row>
    <row s="1857" customFormat="1" customHeight="1" ht="23.25">
      <c r="A212" s="1370"/>
      <c r="B212" s="1370" t="s">
        <v>375</v>
      </c>
      <c r="C212" s="1370"/>
      <c r="D212" s="1370"/>
      <c r="E212" s="2266"/>
      <c r="F212" s="2265" t="s">
        <v>182</v>
      </c>
      <c r="G212" s="1370"/>
      <c r="H212" s="1370"/>
      <c r="I212" s="1370"/>
      <c r="J212" s="1370"/>
      <c r="K212" s="1370"/>
      <c r="L212" s="1376"/>
      <c r="M212" s="1372"/>
      <c r="N212" s="1372"/>
      <c r="O212" s="1372"/>
      <c r="P212" s="2132"/>
      <c r="Q212" s="359"/>
      <c r="R212" s="360"/>
      <c r="S212" s="2280" t="str">
        <f>INDEX(PT_DIFFERENTIATION_NUM_TER,MATCH(B212,PT_DIFFERENTIATION_TER_ID,0))</f>
        <v>1.18</v>
      </c>
      <c r="T212" s="1529" t="s">
        <v>560</v>
      </c>
      <c r="U212" s="307"/>
      <c r="V212" s="2249"/>
      <c r="W212" s="2250"/>
      <c r="X212" s="2250"/>
      <c r="Y212" s="2250"/>
      <c r="Z212" s="2250"/>
      <c r="AA212" s="2250"/>
      <c r="AB212" s="2251"/>
      <c r="AC212" s="2249" t="str">
        <f>INDEX(PT_DIFFERENTIATION_TER,MATCH(B212,PT_DIFFERENTIATION_TER_ID,0))</f>
        <v>Территория 18</v>
      </c>
      <c r="AD212" s="2250"/>
      <c r="AE212" s="2250"/>
      <c r="AF212" s="2250"/>
      <c r="AG212" s="2250"/>
      <c r="AH212" s="2250"/>
      <c r="AI212" s="2250"/>
      <c r="AJ212" s="2249"/>
      <c r="AK212" s="2250"/>
      <c r="AL212" s="2250"/>
      <c r="AM212" s="2250"/>
      <c r="AN212" s="2250"/>
      <c r="AO212" s="2250"/>
      <c r="AP212" s="2251"/>
      <c r="AQ212" s="2249"/>
      <c r="AR212" s="2250"/>
      <c r="AS212" s="2250"/>
      <c r="AT212" s="2250"/>
      <c r="AU212" s="2250"/>
      <c r="AV212" s="2250"/>
      <c r="AW212" s="2251"/>
      <c r="AX212" s="2249"/>
      <c r="AY212" s="2250"/>
      <c r="AZ212" s="2250"/>
      <c r="BA212" s="2250"/>
      <c r="BB212" s="2250"/>
      <c r="BC212" s="2250"/>
      <c r="BD212" s="2251"/>
      <c r="BE212" s="2249"/>
      <c r="BF212" s="2250"/>
      <c r="BG212" s="2250"/>
      <c r="BH212" s="2250"/>
      <c r="BI212" s="2250"/>
      <c r="BJ212" s="2250"/>
      <c r="BK212" s="2251"/>
      <c r="BL212" s="2249"/>
      <c r="BM212" s="2250"/>
      <c r="BN212" s="2250"/>
      <c r="BO212" s="2250"/>
      <c r="BP212" s="2250"/>
      <c r="BQ212" s="2250"/>
      <c r="BR212" s="2251"/>
      <c r="BS212" s="2249"/>
      <c r="BT212" s="2250"/>
      <c r="BU212" s="2250"/>
      <c r="BV212" s="2250"/>
      <c r="BW212" s="2250"/>
      <c r="BX212" s="2250"/>
      <c r="BY212" s="2251"/>
      <c r="BZ212" s="2249"/>
      <c r="CA212" s="2250"/>
      <c r="CB212" s="2250"/>
      <c r="CC212" s="2250"/>
      <c r="CD212" s="2250"/>
      <c r="CE212" s="2250"/>
      <c r="CF212" s="2251"/>
      <c r="CG212" s="2249"/>
      <c r="CH212" s="2250"/>
      <c r="CI212" s="2250"/>
      <c r="CJ212" s="2250"/>
      <c r="CK212" s="2250"/>
      <c r="CL212" s="2250"/>
      <c r="CM212" s="4492"/>
      <c r="CN212" s="2251"/>
      <c r="CO212" s="1265" t="s">
        <v>561</v>
      </c>
      <c r="CP212" s="1649"/>
      <c r="CQ212" s="1631"/>
      <c r="CR212" s="1631" t="str">
        <f>IF(T212="","",T212)</f>
        <v>Территория действия тарифа</v>
      </c>
      <c r="CS212" s="1631"/>
      <c r="CT212" s="1631"/>
      <c r="CU212" s="1642">
        <v>0</v>
      </c>
    </row>
    <row s="1857" customFormat="1" customHeight="1" ht="23.25">
      <c r="A213" s="1370"/>
      <c r="B213" s="1370"/>
      <c r="C213" s="1370" t="s">
        <v>376</v>
      </c>
      <c r="D213" s="1370"/>
      <c r="E213" s="2266"/>
      <c r="F213" s="2266" t="s">
        <v>177</v>
      </c>
      <c r="G213" s="2265">
        <v>1</v>
      </c>
      <c r="H213" s="1370"/>
      <c r="I213" s="1370"/>
      <c r="J213" s="1370"/>
      <c r="K213" s="1370"/>
      <c r="L213" s="1376"/>
      <c r="M213" s="1372"/>
      <c r="N213" s="1372"/>
      <c r="O213" s="1372"/>
      <c r="P213" s="361"/>
      <c r="Q213" s="359"/>
      <c r="R213" s="360"/>
      <c r="S213" s="2280" t="str">
        <f>INDEX(PT_DIFFERENTIATION_NUM_CS,MATCH(C213,PT_DIFFERENTIATION_CS_ID,0))</f>
        <v>1.18.1</v>
      </c>
      <c r="T213" s="316" t="s">
        <v>641</v>
      </c>
      <c r="U213" s="307"/>
      <c r="V213" s="2249"/>
      <c r="W213" s="2250"/>
      <c r="X213" s="2250"/>
      <c r="Y213" s="2250"/>
      <c r="Z213" s="2250"/>
      <c r="AA213" s="2250"/>
      <c r="AB213" s="2251"/>
      <c r="AC213" s="2249" t="str">
        <f>INDEX(PT_DIFFERENTIATION_CS,MATCH(C213,PT_DIFFERENTIATION_CS_ID,0))</f>
        <v>Шебекинский район (с/п)</v>
      </c>
      <c r="AD213" s="2250"/>
      <c r="AE213" s="2250"/>
      <c r="AF213" s="2250"/>
      <c r="AG213" s="2250"/>
      <c r="AH213" s="2250"/>
      <c r="AI213" s="2250"/>
      <c r="AJ213" s="2249"/>
      <c r="AK213" s="2250"/>
      <c r="AL213" s="2250"/>
      <c r="AM213" s="2250"/>
      <c r="AN213" s="2250"/>
      <c r="AO213" s="2250"/>
      <c r="AP213" s="2251"/>
      <c r="AQ213" s="2249"/>
      <c r="AR213" s="2250"/>
      <c r="AS213" s="2250"/>
      <c r="AT213" s="2250"/>
      <c r="AU213" s="2250"/>
      <c r="AV213" s="2250"/>
      <c r="AW213" s="2251"/>
      <c r="AX213" s="2249"/>
      <c r="AY213" s="2250"/>
      <c r="AZ213" s="2250"/>
      <c r="BA213" s="2250"/>
      <c r="BB213" s="2250"/>
      <c r="BC213" s="2250"/>
      <c r="BD213" s="2251"/>
      <c r="BE213" s="2249"/>
      <c r="BF213" s="2250"/>
      <c r="BG213" s="2250"/>
      <c r="BH213" s="2250"/>
      <c r="BI213" s="2250"/>
      <c r="BJ213" s="2250"/>
      <c r="BK213" s="2251"/>
      <c r="BL213" s="2249"/>
      <c r="BM213" s="2250"/>
      <c r="BN213" s="2250"/>
      <c r="BO213" s="2250"/>
      <c r="BP213" s="2250"/>
      <c r="BQ213" s="2250"/>
      <c r="BR213" s="2251"/>
      <c r="BS213" s="2249"/>
      <c r="BT213" s="2250"/>
      <c r="BU213" s="2250"/>
      <c r="BV213" s="2250"/>
      <c r="BW213" s="2250"/>
      <c r="BX213" s="2250"/>
      <c r="BY213" s="2251"/>
      <c r="BZ213" s="2249"/>
      <c r="CA213" s="2250"/>
      <c r="CB213" s="2250"/>
      <c r="CC213" s="2250"/>
      <c r="CD213" s="2250"/>
      <c r="CE213" s="2250"/>
      <c r="CF213" s="2251"/>
      <c r="CG213" s="2249"/>
      <c r="CH213" s="2250"/>
      <c r="CI213" s="2250"/>
      <c r="CJ213" s="2250"/>
      <c r="CK213" s="2250"/>
      <c r="CL213" s="2250"/>
      <c r="CM213" s="4492"/>
      <c r="CN213" s="2251"/>
      <c r="CO213" s="1265" t="s">
        <v>642</v>
      </c>
      <c r="CP213" s="1649"/>
      <c r="CQ213" s="1631"/>
      <c r="CR213" s="1631" t="str">
        <f>IF(T213="","",T213)</f>
        <v>Наименование централизованной системы холодного водоснабжения</v>
      </c>
      <c r="CS213" s="1631"/>
      <c r="CT213" s="1631"/>
      <c r="CU213" s="1642">
        <v>0</v>
      </c>
    </row>
    <row s="1857" customFormat="1" customHeight="1" ht="23.25">
      <c r="A214" s="1370"/>
      <c r="B214" s="1370"/>
      <c r="C214" s="1370"/>
      <c r="D214" s="1370"/>
      <c r="E214" s="2266"/>
      <c r="F214" s="2266" t="s">
        <v>177</v>
      </c>
      <c r="G214" s="2266"/>
      <c r="H214" s="2266"/>
      <c r="I214" s="2263" t="str">
        <f>S213&amp;".1"</f>
        <v>1.18.1.1</v>
      </c>
      <c r="J214" s="1370"/>
      <c r="K214" s="1370"/>
      <c r="L214" s="1376"/>
      <c r="M214" s="1783"/>
      <c r="N214" s="1783"/>
      <c r="O214" s="1783"/>
      <c r="P214" s="2381">
        <v>1</v>
      </c>
      <c r="Q214" s="2381"/>
      <c r="R214" s="363"/>
      <c r="S214" s="2280" t="str">
        <f>$I214</f>
        <v>1.18.1.1</v>
      </c>
      <c r="T214" s="292" t="s">
        <v>643</v>
      </c>
      <c r="U214" s="307"/>
      <c r="V214" s="2357"/>
      <c r="W214" s="2358"/>
      <c r="X214" s="2358"/>
      <c r="Y214" s="2358"/>
      <c r="Z214" s="2358"/>
      <c r="AA214" s="2358"/>
      <c r="AB214" s="2359"/>
      <c r="AC214" s="2360" t="s">
        <v>374</v>
      </c>
      <c r="AD214" s="2361"/>
      <c r="AE214" s="2361"/>
      <c r="AF214" s="2361"/>
      <c r="AG214" s="2361"/>
      <c r="AH214" s="2361"/>
      <c r="AI214" s="2361"/>
      <c r="AJ214" s="2357"/>
      <c r="AK214" s="2358"/>
      <c r="AL214" s="2358"/>
      <c r="AM214" s="2358"/>
      <c r="AN214" s="2358"/>
      <c r="AO214" s="2358"/>
      <c r="AP214" s="2359"/>
      <c r="AQ214" s="2357"/>
      <c r="AR214" s="2358"/>
      <c r="AS214" s="2358"/>
      <c r="AT214" s="2358"/>
      <c r="AU214" s="2358"/>
      <c r="AV214" s="2358"/>
      <c r="AW214" s="2359"/>
      <c r="AX214" s="2357"/>
      <c r="AY214" s="2358"/>
      <c r="AZ214" s="2358"/>
      <c r="BA214" s="2358"/>
      <c r="BB214" s="2358"/>
      <c r="BC214" s="2358"/>
      <c r="BD214" s="2359"/>
      <c r="BE214" s="2357"/>
      <c r="BF214" s="2358"/>
      <c r="BG214" s="2358"/>
      <c r="BH214" s="2358"/>
      <c r="BI214" s="2358"/>
      <c r="BJ214" s="2358"/>
      <c r="BK214" s="2359"/>
      <c r="BL214" s="2357"/>
      <c r="BM214" s="2358"/>
      <c r="BN214" s="2358"/>
      <c r="BO214" s="2358"/>
      <c r="BP214" s="2358"/>
      <c r="BQ214" s="2358"/>
      <c r="BR214" s="2359"/>
      <c r="BS214" s="2357"/>
      <c r="BT214" s="2358"/>
      <c r="BU214" s="2358"/>
      <c r="BV214" s="2358"/>
      <c r="BW214" s="2358"/>
      <c r="BX214" s="2358"/>
      <c r="BY214" s="2359"/>
      <c r="BZ214" s="2357"/>
      <c r="CA214" s="2358"/>
      <c r="CB214" s="2358"/>
      <c r="CC214" s="2358"/>
      <c r="CD214" s="2358"/>
      <c r="CE214" s="2358"/>
      <c r="CF214" s="2359"/>
      <c r="CG214" s="2357"/>
      <c r="CH214" s="2358"/>
      <c r="CI214" s="2358"/>
      <c r="CJ214" s="2358"/>
      <c r="CK214" s="2358"/>
      <c r="CL214" s="2358"/>
      <c r="CM214" s="4495"/>
      <c r="CN214" s="2362"/>
      <c r="CO214" s="1265" t="s">
        <v>644</v>
      </c>
      <c r="CP214" s="1649"/>
      <c r="CQ214" s="1631"/>
      <c r="CR214" s="1631" t="str">
        <f>IF(T214="","",T214)</f>
        <v>Наименование признака дифференциации</v>
      </c>
      <c r="CS214" s="1631"/>
      <c r="CT214" s="1631"/>
      <c r="CU214" s="1642">
        <v>0</v>
      </c>
    </row>
    <row s="1857" customFormat="1" customHeight="1" ht="23.25">
      <c r="A215" s="1370"/>
      <c r="B215" s="1370"/>
      <c r="C215" s="1370"/>
      <c r="D215" s="1370"/>
      <c r="E215" s="2266"/>
      <c r="F215" s="2266" t="s">
        <v>177</v>
      </c>
      <c r="G215" s="2266"/>
      <c r="H215" s="2266"/>
      <c r="I215" s="2293"/>
      <c r="J215" s="2263" t="str">
        <f>I214&amp;".1"</f>
        <v>1.18.1.1.1</v>
      </c>
      <c r="K215" s="1370"/>
      <c r="L215" s="1376" t="s">
        <v>569</v>
      </c>
      <c r="M215" s="1783"/>
      <c r="N215" s="1783"/>
      <c r="O215" s="1783"/>
      <c r="P215" s="2381"/>
      <c r="Q215" s="2381">
        <v>1</v>
      </c>
      <c r="R215" s="364"/>
      <c r="S215" s="2280" t="str">
        <f>$J215</f>
        <v>1.18.1.1.1</v>
      </c>
      <c r="T215" s="293" t="s">
        <v>570</v>
      </c>
      <c r="U215" s="307"/>
      <c r="V215" s="2252"/>
      <c r="W215" s="2253"/>
      <c r="X215" s="2253"/>
      <c r="Y215" s="2253"/>
      <c r="Z215" s="2253"/>
      <c r="AA215" s="2253"/>
      <c r="AB215" s="2254"/>
      <c r="AC215" s="2252" t="s">
        <v>656</v>
      </c>
      <c r="AD215" s="2253"/>
      <c r="AE215" s="2253"/>
      <c r="AF215" s="2253"/>
      <c r="AG215" s="2253"/>
      <c r="AH215" s="2253"/>
      <c r="AI215" s="2253"/>
      <c r="AJ215" s="2252"/>
      <c r="AK215" s="2253"/>
      <c r="AL215" s="2253"/>
      <c r="AM215" s="2253"/>
      <c r="AN215" s="2253"/>
      <c r="AO215" s="2253"/>
      <c r="AP215" s="2254"/>
      <c r="AQ215" s="2252"/>
      <c r="AR215" s="2253"/>
      <c r="AS215" s="2253"/>
      <c r="AT215" s="2253"/>
      <c r="AU215" s="2253"/>
      <c r="AV215" s="2253"/>
      <c r="AW215" s="2254"/>
      <c r="AX215" s="2252"/>
      <c r="AY215" s="2253"/>
      <c r="AZ215" s="2253"/>
      <c r="BA215" s="2253"/>
      <c r="BB215" s="2253"/>
      <c r="BC215" s="2253"/>
      <c r="BD215" s="2254"/>
      <c r="BE215" s="2252"/>
      <c r="BF215" s="2253"/>
      <c r="BG215" s="2253"/>
      <c r="BH215" s="2253"/>
      <c r="BI215" s="2253"/>
      <c r="BJ215" s="2253"/>
      <c r="BK215" s="2254"/>
      <c r="BL215" s="2252"/>
      <c r="BM215" s="2253"/>
      <c r="BN215" s="2253"/>
      <c r="BO215" s="2253"/>
      <c r="BP215" s="2253"/>
      <c r="BQ215" s="2253"/>
      <c r="BR215" s="2254"/>
      <c r="BS215" s="2252"/>
      <c r="BT215" s="2253"/>
      <c r="BU215" s="2253"/>
      <c r="BV215" s="2253"/>
      <c r="BW215" s="2253"/>
      <c r="BX215" s="2253"/>
      <c r="BY215" s="2254"/>
      <c r="BZ215" s="2252"/>
      <c r="CA215" s="2253"/>
      <c r="CB215" s="2253"/>
      <c r="CC215" s="2253"/>
      <c r="CD215" s="2253"/>
      <c r="CE215" s="2253"/>
      <c r="CF215" s="2254"/>
      <c r="CG215" s="2252"/>
      <c r="CH215" s="2253"/>
      <c r="CI215" s="2253"/>
      <c r="CJ215" s="2253"/>
      <c r="CK215" s="2253"/>
      <c r="CL215" s="2253"/>
      <c r="CM215" s="4498"/>
      <c r="CN215" s="2254"/>
      <c r="CO215" s="1314" t="s">
        <v>645</v>
      </c>
      <c r="CP215" s="1649"/>
      <c r="CQ215" s="1631"/>
      <c r="CR215" s="1631" t="str">
        <f>IF(T215="","",T215)</f>
        <v>Группа потребителей</v>
      </c>
      <c r="CS215" s="1631"/>
      <c r="CT215" s="1631"/>
      <c r="CU215" s="1642">
        <v>0</v>
      </c>
    </row>
    <row s="1857" customFormat="1" customHeight="1" ht="23.25">
      <c r="A216" s="1370"/>
      <c r="B216" s="1370"/>
      <c r="C216" s="1370"/>
      <c r="D216" s="1370"/>
      <c r="E216" s="2266"/>
      <c r="F216" s="2266" t="s">
        <v>177</v>
      </c>
      <c r="G216" s="2266"/>
      <c r="H216" s="2266"/>
      <c r="I216" s="2293"/>
      <c r="J216" s="2293"/>
      <c r="K216" s="2263" t="str">
        <f>J215&amp;".1"</f>
        <v>1.18.1.1.1.1</v>
      </c>
      <c r="L216" s="1376"/>
      <c r="M216" s="1783"/>
      <c r="N216" s="1783"/>
      <c r="O216" s="1783"/>
      <c r="P216" s="2381"/>
      <c r="Q216" s="2381"/>
      <c r="R216" s="364">
        <v>1</v>
      </c>
      <c r="S216" s="2280" t="str">
        <f>$K216</f>
        <v>1.18.1.1.1.1</v>
      </c>
      <c r="T216" s="1444" t="s">
        <v>657</v>
      </c>
      <c r="U216" s="307"/>
      <c r="V216" s="758"/>
      <c r="W216" s="758"/>
      <c r="X216" s="1264"/>
      <c r="Y216" s="2609"/>
      <c r="Z216" s="2114" t="s">
        <v>66</v>
      </c>
      <c r="AA216" s="2609"/>
      <c r="AB216" s="2114" t="s">
        <v>66</v>
      </c>
      <c r="AC216" s="758">
        <v>29.38</v>
      </c>
      <c r="AD216" s="758"/>
      <c r="AE216" s="1264"/>
      <c r="AF216" s="2609">
        <v>44896</v>
      </c>
      <c r="AG216" s="2114" t="s">
        <v>66</v>
      </c>
      <c r="AH216" s="2294">
        <v>45291</v>
      </c>
      <c r="AI216" s="2114" t="s">
        <v>66</v>
      </c>
      <c r="AJ216" s="758">
        <v>29.38</v>
      </c>
      <c r="AK216" s="758"/>
      <c r="AL216" s="1264"/>
      <c r="AM216" s="2609">
        <v>45292</v>
      </c>
      <c r="AN216" s="2114" t="s">
        <v>66</v>
      </c>
      <c r="AO216" s="2609">
        <v>45473</v>
      </c>
      <c r="AP216" s="2114" t="s">
        <v>66</v>
      </c>
      <c r="AQ216" s="758">
        <v>33.68</v>
      </c>
      <c r="AR216" s="758"/>
      <c r="AS216" s="1264"/>
      <c r="AT216" s="2609">
        <v>45474</v>
      </c>
      <c r="AU216" s="2114" t="s">
        <v>66</v>
      </c>
      <c r="AV216" s="2609">
        <v>45657</v>
      </c>
      <c r="AW216" s="2114" t="s">
        <v>66</v>
      </c>
      <c r="AX216" s="758">
        <v>33.68</v>
      </c>
      <c r="AY216" s="758"/>
      <c r="AZ216" s="1264"/>
      <c r="BA216" s="2609">
        <v>45658</v>
      </c>
      <c r="BB216" s="2114" t="s">
        <v>66</v>
      </c>
      <c r="BC216" s="2609">
        <v>45838</v>
      </c>
      <c r="BD216" s="2114" t="s">
        <v>66</v>
      </c>
      <c r="BE216" s="758">
        <v>87.28</v>
      </c>
      <c r="BF216" s="758"/>
      <c r="BG216" s="1264"/>
      <c r="BH216" s="2609">
        <v>45839</v>
      </c>
      <c r="BI216" s="2114" t="s">
        <v>66</v>
      </c>
      <c r="BJ216" s="2609">
        <v>46022</v>
      </c>
      <c r="BK216" s="2114" t="s">
        <v>66</v>
      </c>
      <c r="BL216" s="758">
        <v>23.06</v>
      </c>
      <c r="BM216" s="758"/>
      <c r="BN216" s="1264"/>
      <c r="BO216" s="2609">
        <v>46023</v>
      </c>
      <c r="BP216" s="2114" t="s">
        <v>66</v>
      </c>
      <c r="BQ216" s="2609">
        <v>46203</v>
      </c>
      <c r="BR216" s="2114" t="s">
        <v>66</v>
      </c>
      <c r="BS216" s="758">
        <v>34.43</v>
      </c>
      <c r="BT216" s="758"/>
      <c r="BU216" s="1264"/>
      <c r="BV216" s="2609">
        <v>46204</v>
      </c>
      <c r="BW216" s="2114" t="s">
        <v>66</v>
      </c>
      <c r="BX216" s="2609">
        <v>46387</v>
      </c>
      <c r="BY216" s="2114" t="s">
        <v>66</v>
      </c>
      <c r="BZ216" s="758">
        <v>34.43</v>
      </c>
      <c r="CA216" s="758"/>
      <c r="CB216" s="1264"/>
      <c r="CC216" s="2609">
        <v>46388</v>
      </c>
      <c r="CD216" s="2114" t="s">
        <v>66</v>
      </c>
      <c r="CE216" s="2609">
        <v>46568</v>
      </c>
      <c r="CF216" s="2114" t="s">
        <v>66</v>
      </c>
      <c r="CG216" s="758">
        <v>34.42</v>
      </c>
      <c r="CH216" s="758"/>
      <c r="CI216" s="1264"/>
      <c r="CJ216" s="2609">
        <v>46569</v>
      </c>
      <c r="CK216" s="2114" t="s">
        <v>66</v>
      </c>
      <c r="CL216" s="2609">
        <v>46752</v>
      </c>
      <c r="CM216" s="2114" t="s">
        <v>66</v>
      </c>
      <c r="CN216" s="1445"/>
      <c r="CO21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216" s="1649">
        <f>STRCHECKDATE(V217:CN217)</f>
      </c>
      <c r="CQ216" s="1631"/>
      <c r="CR216" s="1631" t="str">
        <f>IF(T216="","",T216)</f>
        <v>Тариф по водоснабжению без НДС</v>
      </c>
      <c r="CS216" s="1631"/>
      <c r="CT216" s="1631"/>
      <c r="CU216" s="1642">
        <v>0</v>
      </c>
    </row>
    <row s="1857" customFormat="1" customHeight="1" ht="14.25">
      <c r="A217" s="1370"/>
      <c r="B217" s="1370"/>
      <c r="C217" s="1370"/>
      <c r="D217" s="1370"/>
      <c r="E217" s="2266"/>
      <c r="F217" s="2266" t="s">
        <v>177</v>
      </c>
      <c r="G217" s="2266"/>
      <c r="H217" s="2266"/>
      <c r="I217" s="2293"/>
      <c r="J217" s="2293"/>
      <c r="K217" s="2263"/>
      <c r="L217" s="1376"/>
      <c r="M217" s="1783"/>
      <c r="N217" s="1783"/>
      <c r="O217" s="1783"/>
      <c r="P217" s="2381"/>
      <c r="Q217" s="2381"/>
      <c r="R217" s="364"/>
      <c r="S217" s="2520"/>
      <c r="T217" s="307"/>
      <c r="U217" s="307"/>
      <c r="V217" s="332"/>
      <c r="W217" s="332"/>
      <c r="X217" s="335" t="str">
        <f>Y216&amp;"-"&amp;AA216</f>
        <v>-</v>
      </c>
      <c r="Y217" s="2316"/>
      <c r="Z217" s="2114"/>
      <c r="AA217" s="2316"/>
      <c r="AB217" s="2114"/>
      <c r="AC217" s="332"/>
      <c r="AD217" s="332"/>
      <c r="AE217" s="335" t="str">
        <f>AF216&amp;"-"&amp;AH216</f>
        <v>44896-45291</v>
      </c>
      <c r="AF217" s="2316"/>
      <c r="AG217" s="2114"/>
      <c r="AH217" s="2295"/>
      <c r="AI217" s="2114"/>
      <c r="AJ217" s="332"/>
      <c r="AK217" s="332"/>
      <c r="AL217" s="335" t="str">
        <f>AM216&amp;"-"&amp;AO216</f>
        <v>45292-45473</v>
      </c>
      <c r="AM217" s="2316"/>
      <c r="AN217" s="2114"/>
      <c r="AO217" s="2316"/>
      <c r="AP217" s="2114"/>
      <c r="AQ217" s="332"/>
      <c r="AR217" s="332"/>
      <c r="AS217" s="335" t="str">
        <f>AT216&amp;"-"&amp;AV216</f>
        <v>45474-45657</v>
      </c>
      <c r="AT217" s="2316"/>
      <c r="AU217" s="2114"/>
      <c r="AV217" s="2316"/>
      <c r="AW217" s="2114"/>
      <c r="AX217" s="332"/>
      <c r="AY217" s="332"/>
      <c r="AZ217" s="335" t="str">
        <f>BA216&amp;"-"&amp;BC216</f>
        <v>45658-45838</v>
      </c>
      <c r="BA217" s="2316"/>
      <c r="BB217" s="2114"/>
      <c r="BC217" s="2316"/>
      <c r="BD217" s="2114"/>
      <c r="BE217" s="332"/>
      <c r="BF217" s="332"/>
      <c r="BG217" s="335" t="str">
        <f>BH216&amp;"-"&amp;BJ216</f>
        <v>45839-46022</v>
      </c>
      <c r="BH217" s="2316"/>
      <c r="BI217" s="2114"/>
      <c r="BJ217" s="2316"/>
      <c r="BK217" s="2114"/>
      <c r="BL217" s="332"/>
      <c r="BM217" s="332"/>
      <c r="BN217" s="335" t="str">
        <f>BO216&amp;"-"&amp;BQ216</f>
        <v>46023-46203</v>
      </c>
      <c r="BO217" s="2316"/>
      <c r="BP217" s="2114"/>
      <c r="BQ217" s="2316"/>
      <c r="BR217" s="2114"/>
      <c r="BS217" s="332"/>
      <c r="BT217" s="332"/>
      <c r="BU217" s="335" t="str">
        <f>BV216&amp;"-"&amp;BX216</f>
        <v>46204-46387</v>
      </c>
      <c r="BV217" s="2316"/>
      <c r="BW217" s="2114"/>
      <c r="BX217" s="2316"/>
      <c r="BY217" s="2114"/>
      <c r="BZ217" s="332"/>
      <c r="CA217" s="332"/>
      <c r="CB217" s="335" t="str">
        <f>CC216&amp;"-"&amp;CE216</f>
        <v>46388-46568</v>
      </c>
      <c r="CC217" s="2316"/>
      <c r="CD217" s="2114"/>
      <c r="CE217" s="2316"/>
      <c r="CF217" s="2114"/>
      <c r="CG217" s="332"/>
      <c r="CH217" s="332"/>
      <c r="CI217" s="335" t="str">
        <f>CJ216&amp;"-"&amp;CL216</f>
        <v>46569-46752</v>
      </c>
      <c r="CJ217" s="2316"/>
      <c r="CK217" s="2114"/>
      <c r="CL217" s="2316"/>
      <c r="CM217" s="2114"/>
      <c r="CN217" s="1446"/>
      <c r="CO217" s="2356"/>
      <c r="CP217" s="1649"/>
      <c r="CQ217" s="1631"/>
      <c r="CR217" s="1631" t="str">
        <f>IF(T217="","",T217)</f>
        <v/>
      </c>
      <c r="CS217" s="1631"/>
      <c r="CT217" s="1631"/>
      <c r="CU217" s="1642">
        <v>0</v>
      </c>
    </row>
    <row s="1857" customFormat="1" customHeight="1" ht="21">
      <c r="A218" s="1370"/>
      <c r="B218" s="1370"/>
      <c r="C218" s="1370"/>
      <c r="D218" s="1370"/>
      <c r="E218" s="2266"/>
      <c r="F218" s="2266" t="s">
        <v>177</v>
      </c>
      <c r="G218" s="2266"/>
      <c r="H218" s="2266"/>
      <c r="I218" s="2293"/>
      <c r="J218" s="2263"/>
      <c r="K218" s="1370"/>
      <c r="L218" s="1376"/>
      <c r="M218" s="1783"/>
      <c r="N218" s="1783"/>
      <c r="O218" s="1783"/>
      <c r="P218" s="2381"/>
      <c r="Q218" s="2381"/>
      <c r="R218" s="363"/>
      <c r="S218" s="4025"/>
      <c r="T218" s="4026" t="s">
        <v>646</v>
      </c>
      <c r="U218" s="4027"/>
      <c r="V218" s="4028"/>
      <c r="W218" s="4029"/>
      <c r="X218" s="4030"/>
      <c r="Y218" s="4031"/>
      <c r="Z218" s="4032"/>
      <c r="AA218" s="4033"/>
      <c r="AB218" s="4034"/>
      <c r="AC218" s="4035"/>
      <c r="AD218" s="4036"/>
      <c r="AE218" s="4037"/>
      <c r="AF218" s="4038"/>
      <c r="AG218" s="4039"/>
      <c r="AH218" s="4040"/>
      <c r="AI218" s="4041"/>
      <c r="AJ218" s="12018"/>
      <c r="AK218" s="12019"/>
      <c r="AL218" s="12020"/>
      <c r="AM218" s="12021"/>
      <c r="AN218" s="12022"/>
      <c r="AO218" s="12023"/>
      <c r="AP218" s="12024"/>
      <c r="AQ218" s="12025"/>
      <c r="AR218" s="12026"/>
      <c r="AS218" s="12027"/>
      <c r="AT218" s="12028"/>
      <c r="AU218" s="12029"/>
      <c r="AV218" s="12030"/>
      <c r="AW218" s="12031"/>
      <c r="AX218" s="12032"/>
      <c r="AY218" s="12033"/>
      <c r="AZ218" s="12034"/>
      <c r="BA218" s="12035"/>
      <c r="BB218" s="12036"/>
      <c r="BC218" s="12037"/>
      <c r="BD218" s="12038"/>
      <c r="BE218" s="12039"/>
      <c r="BF218" s="12040"/>
      <c r="BG218" s="12041"/>
      <c r="BH218" s="12042"/>
      <c r="BI218" s="12043"/>
      <c r="BJ218" s="12044"/>
      <c r="BK218" s="12045"/>
      <c r="BL218" s="12046"/>
      <c r="BM218" s="12047"/>
      <c r="BN218" s="12048"/>
      <c r="BO218" s="12049"/>
      <c r="BP218" s="12050"/>
      <c r="BQ218" s="12051"/>
      <c r="BR218" s="12052"/>
      <c r="BS218" s="12053"/>
      <c r="BT218" s="12054"/>
      <c r="BU218" s="12055"/>
      <c r="BV218" s="12056"/>
      <c r="BW218" s="12057"/>
      <c r="BX218" s="12058"/>
      <c r="BY218" s="12059"/>
      <c r="BZ218" s="12060"/>
      <c r="CA218" s="12061"/>
      <c r="CB218" s="12062"/>
      <c r="CC218" s="12063"/>
      <c r="CD218" s="12064"/>
      <c r="CE218" s="12065"/>
      <c r="CF218" s="12066"/>
      <c r="CG218" s="12067"/>
      <c r="CH218" s="12068"/>
      <c r="CI218" s="12069"/>
      <c r="CJ218" s="12070"/>
      <c r="CK218" s="12071"/>
      <c r="CL218" s="12072"/>
      <c r="CM218" s="12745"/>
      <c r="CN218" s="4049"/>
      <c r="CO218" s="1265" t="s">
        <v>647</v>
      </c>
      <c r="CP218" s="1649"/>
      <c r="CQ218" s="1631"/>
      <c r="CR218" s="1631" t="str">
        <f>IF(T218="","",T218)</f>
        <v>Добавить значение признака дифференциации</v>
      </c>
      <c r="CS218" s="1631"/>
      <c r="CT218" s="1631"/>
      <c r="CU218" s="1642">
        <v>0</v>
      </c>
    </row>
    <row s="1857" customFormat="1" customHeight="1" ht="21">
      <c r="A219" s="1370"/>
      <c r="B219" s="1370"/>
      <c r="C219" s="1370"/>
      <c r="D219" s="1370"/>
      <c r="E219" s="2266"/>
      <c r="F219" s="2266" t="s">
        <v>177</v>
      </c>
      <c r="G219" s="2266"/>
      <c r="H219" s="2266"/>
      <c r="I219" s="2263"/>
      <c r="J219" s="1370"/>
      <c r="K219" s="1370"/>
      <c r="L219" s="1376"/>
      <c r="M219" s="1783"/>
      <c r="N219" s="1783"/>
      <c r="O219" s="1783"/>
      <c r="P219" s="2381"/>
      <c r="Q219" s="2381"/>
      <c r="R219" s="363"/>
      <c r="S219" s="4050"/>
      <c r="T219" s="4051" t="s">
        <v>575</v>
      </c>
      <c r="U219" s="4052"/>
      <c r="V219" s="4053"/>
      <c r="W219" s="4054"/>
      <c r="X219" s="4055"/>
      <c r="Y219" s="4056"/>
      <c r="Z219" s="4057"/>
      <c r="AA219" s="4058"/>
      <c r="AB219" s="4059"/>
      <c r="AC219" s="4060"/>
      <c r="AD219" s="4061"/>
      <c r="AE219" s="4062"/>
      <c r="AF219" s="4063"/>
      <c r="AG219" s="4064"/>
      <c r="AH219" s="4065"/>
      <c r="AI219" s="4066"/>
      <c r="AJ219" s="12074"/>
      <c r="AK219" s="12075"/>
      <c r="AL219" s="12076"/>
      <c r="AM219" s="12077"/>
      <c r="AN219" s="12078"/>
      <c r="AO219" s="12079"/>
      <c r="AP219" s="12080"/>
      <c r="AQ219" s="12081"/>
      <c r="AR219" s="12082"/>
      <c r="AS219" s="12083"/>
      <c r="AT219" s="12084"/>
      <c r="AU219" s="12085"/>
      <c r="AV219" s="12086"/>
      <c r="AW219" s="12087"/>
      <c r="AX219" s="12088"/>
      <c r="AY219" s="12089"/>
      <c r="AZ219" s="12090"/>
      <c r="BA219" s="12091"/>
      <c r="BB219" s="12092"/>
      <c r="BC219" s="12093"/>
      <c r="BD219" s="12094"/>
      <c r="BE219" s="12095"/>
      <c r="BF219" s="12096"/>
      <c r="BG219" s="12097"/>
      <c r="BH219" s="12098"/>
      <c r="BI219" s="12099"/>
      <c r="BJ219" s="12100"/>
      <c r="BK219" s="12101"/>
      <c r="BL219" s="12102"/>
      <c r="BM219" s="12103"/>
      <c r="BN219" s="12104"/>
      <c r="BO219" s="12105"/>
      <c r="BP219" s="12106"/>
      <c r="BQ219" s="12107"/>
      <c r="BR219" s="12108"/>
      <c r="BS219" s="12109"/>
      <c r="BT219" s="12110"/>
      <c r="BU219" s="12111"/>
      <c r="BV219" s="12112"/>
      <c r="BW219" s="12113"/>
      <c r="BX219" s="12114"/>
      <c r="BY219" s="12115"/>
      <c r="BZ219" s="12116"/>
      <c r="CA219" s="12117"/>
      <c r="CB219" s="12118"/>
      <c r="CC219" s="12119"/>
      <c r="CD219" s="12120"/>
      <c r="CE219" s="12121"/>
      <c r="CF219" s="12122"/>
      <c r="CG219" s="12123"/>
      <c r="CH219" s="12124"/>
      <c r="CI219" s="12125"/>
      <c r="CJ219" s="12126"/>
      <c r="CK219" s="12127"/>
      <c r="CL219" s="12128"/>
      <c r="CM219" s="12746"/>
      <c r="CN219" s="4074"/>
      <c r="CO219" s="4075"/>
      <c r="CP219" s="1649"/>
      <c r="CQ219" s="1631"/>
      <c r="CR219" s="1631" t="str">
        <f>IF(T219="","",T219)</f>
        <v>Добавить группу потребителей</v>
      </c>
      <c r="CS219" s="1631"/>
      <c r="CT219" s="1631"/>
      <c r="CU219" s="1642">
        <v>0</v>
      </c>
    </row>
    <row s="1857" customFormat="1" customHeight="1" ht="14.25">
      <c r="A220" s="1370"/>
      <c r="B220" s="1370"/>
      <c r="C220" s="1370"/>
      <c r="D220" s="1370"/>
      <c r="E220" s="2266"/>
      <c r="F220" s="2266" t="s">
        <v>177</v>
      </c>
      <c r="G220" s="2266"/>
      <c r="H220" s="2265"/>
      <c r="I220" s="1370"/>
      <c r="J220" s="1370"/>
      <c r="K220" s="1370"/>
      <c r="L220" s="1376"/>
      <c r="M220" s="1372"/>
      <c r="N220" s="1372"/>
      <c r="O220" s="1373"/>
      <c r="P220" s="1830"/>
      <c r="Q220" s="382"/>
      <c r="R220" s="362"/>
      <c r="S220" s="4076"/>
      <c r="T220" s="4077" t="s">
        <v>648</v>
      </c>
      <c r="U220" s="4078"/>
      <c r="V220" s="4079"/>
      <c r="W220" s="4080"/>
      <c r="X220" s="4081"/>
      <c r="Y220" s="4082"/>
      <c r="Z220" s="4083"/>
      <c r="AA220" s="4084"/>
      <c r="AB220" s="4085"/>
      <c r="AC220" s="4086"/>
      <c r="AD220" s="4087"/>
      <c r="AE220" s="4088"/>
      <c r="AF220" s="4089"/>
      <c r="AG220" s="4090"/>
      <c r="AH220" s="4091"/>
      <c r="AI220" s="4092"/>
      <c r="AJ220" s="12130"/>
      <c r="AK220" s="12131"/>
      <c r="AL220" s="12132"/>
      <c r="AM220" s="12133"/>
      <c r="AN220" s="12134"/>
      <c r="AO220" s="12135"/>
      <c r="AP220" s="12136"/>
      <c r="AQ220" s="12137"/>
      <c r="AR220" s="12138"/>
      <c r="AS220" s="12139"/>
      <c r="AT220" s="12140"/>
      <c r="AU220" s="12141"/>
      <c r="AV220" s="12142"/>
      <c r="AW220" s="12143"/>
      <c r="AX220" s="12144"/>
      <c r="AY220" s="12145"/>
      <c r="AZ220" s="12146"/>
      <c r="BA220" s="12147"/>
      <c r="BB220" s="12148"/>
      <c r="BC220" s="12149"/>
      <c r="BD220" s="12150"/>
      <c r="BE220" s="12151"/>
      <c r="BF220" s="12152"/>
      <c r="BG220" s="12153"/>
      <c r="BH220" s="12154"/>
      <c r="BI220" s="12155"/>
      <c r="BJ220" s="12156"/>
      <c r="BK220" s="12157"/>
      <c r="BL220" s="12158"/>
      <c r="BM220" s="12159"/>
      <c r="BN220" s="12160"/>
      <c r="BO220" s="12161"/>
      <c r="BP220" s="12162"/>
      <c r="BQ220" s="12163"/>
      <c r="BR220" s="12164"/>
      <c r="BS220" s="12165"/>
      <c r="BT220" s="12166"/>
      <c r="BU220" s="12167"/>
      <c r="BV220" s="12168"/>
      <c r="BW220" s="12169"/>
      <c r="BX220" s="12170"/>
      <c r="BY220" s="12171"/>
      <c r="BZ220" s="12172"/>
      <c r="CA220" s="12173"/>
      <c r="CB220" s="12174"/>
      <c r="CC220" s="12175"/>
      <c r="CD220" s="12176"/>
      <c r="CE220" s="12177"/>
      <c r="CF220" s="12178"/>
      <c r="CG220" s="12179"/>
      <c r="CH220" s="12180"/>
      <c r="CI220" s="12181"/>
      <c r="CJ220" s="12182"/>
      <c r="CK220" s="12183"/>
      <c r="CL220" s="12184"/>
      <c r="CM220" s="12747"/>
      <c r="CN220" s="4100"/>
      <c r="CO220" s="4101"/>
      <c r="CP220" s="1649"/>
      <c r="CQ220" s="1631"/>
      <c r="CR220" s="1631" t="str">
        <f>IF(T220="","",T220)</f>
        <v>Добавить наименование признака дифференциации</v>
      </c>
      <c r="CS220" s="1631"/>
      <c r="CT220" s="1631"/>
      <c r="CU220" s="1642">
        <v>0</v>
      </c>
    </row>
    <row s="629" customFormat="1" customHeight="1" ht="14.25">
      <c r="A221" s="1350"/>
      <c r="B221" s="1350"/>
      <c r="C221" s="1350"/>
      <c r="D221" s="1350"/>
      <c r="E221" s="2266"/>
      <c r="F221" s="2265" t="s">
        <v>177</v>
      </c>
      <c r="G221" s="1350"/>
      <c r="H221" s="1350"/>
      <c r="I221" s="1350"/>
      <c r="J221" s="1350"/>
      <c r="K221" s="1350"/>
      <c r="L221" s="1552"/>
      <c r="M221" s="1328"/>
      <c r="N221" s="1328"/>
      <c r="O221" s="1649"/>
      <c r="P221" s="1323"/>
      <c r="Q221" s="1351"/>
      <c r="R221" s="1323"/>
      <c r="S221" s="1329"/>
      <c r="T221" s="1332" t="s">
        <v>316</v>
      </c>
      <c r="U221" s="1331"/>
      <c r="V221" s="1331"/>
      <c r="W221" s="1331"/>
      <c r="X221" s="1331"/>
      <c r="Y221" s="1331"/>
      <c r="Z221" s="1331"/>
      <c r="AA221" s="1331"/>
      <c r="AB221" s="1331"/>
      <c r="AC221" s="1331"/>
      <c r="AD221" s="1331"/>
      <c r="AE221" s="1331"/>
      <c r="AF221" s="1331"/>
      <c r="AG221" s="1331"/>
      <c r="AH221" s="1331"/>
      <c r="AI221" s="1331"/>
      <c r="AJ221" s="1331"/>
      <c r="AK221" s="1331"/>
      <c r="AL221" s="1331"/>
      <c r="AM221" s="1331"/>
      <c r="AN221" s="1331"/>
      <c r="AO221" s="1331"/>
      <c r="AP221" s="1331"/>
      <c r="AQ221" s="1331"/>
      <c r="AR221" s="1331"/>
      <c r="AS221" s="1331"/>
      <c r="AT221" s="1331"/>
      <c r="AU221" s="1331"/>
      <c r="AV221" s="1331"/>
      <c r="AW221" s="1331"/>
      <c r="AX221" s="1331"/>
      <c r="AY221" s="1331"/>
      <c r="AZ221" s="1331"/>
      <c r="BA221" s="1331"/>
      <c r="BB221" s="1331"/>
      <c r="BC221" s="1331"/>
      <c r="BD221" s="1331"/>
      <c r="BE221" s="1331"/>
      <c r="BF221" s="1331"/>
      <c r="BG221" s="1331"/>
      <c r="BH221" s="1331"/>
      <c r="BI221" s="1331"/>
      <c r="BJ221" s="1331"/>
      <c r="BK221" s="1331"/>
      <c r="BL221" s="1331"/>
      <c r="BM221" s="1331"/>
      <c r="BN221" s="1331"/>
      <c r="BO221" s="1331"/>
      <c r="BP221" s="1331"/>
      <c r="BQ221" s="1331"/>
      <c r="BR221" s="1331"/>
      <c r="BS221" s="1331"/>
      <c r="BT221" s="1331"/>
      <c r="BU221" s="1331"/>
      <c r="BV221" s="1331"/>
      <c r="BW221" s="1331"/>
      <c r="BX221" s="1331"/>
      <c r="BY221" s="1331"/>
      <c r="BZ221" s="1331"/>
      <c r="CA221" s="1331"/>
      <c r="CB221" s="1331"/>
      <c r="CC221" s="1331"/>
      <c r="CD221" s="1331"/>
      <c r="CE221" s="1331"/>
      <c r="CF221" s="1331"/>
      <c r="CG221" s="1331"/>
      <c r="CH221" s="1331"/>
      <c r="CI221" s="1331"/>
      <c r="CJ221" s="1331"/>
      <c r="CK221" s="1331"/>
      <c r="CL221" s="1331"/>
      <c r="CM221" s="1331"/>
      <c r="CN221" s="1331"/>
      <c r="CO221" s="1331"/>
      <c r="CP221" s="1649"/>
      <c r="CQ221" s="1631"/>
      <c r="CR221" s="1631" t="str">
        <f>IF(T221="","",T221)</f>
        <v>Добавить централизованную систему для дифференциации</v>
      </c>
      <c r="CS221" s="1631"/>
      <c r="CT221" s="1631"/>
      <c r="CU221" s="1649">
        <v>0</v>
      </c>
    </row>
    <row s="1857" customFormat="1" customHeight="1" ht="23.25">
      <c r="A222" s="1370"/>
      <c r="B222" s="1370" t="s">
        <v>379</v>
      </c>
      <c r="C222" s="1370"/>
      <c r="D222" s="1370"/>
      <c r="E222" s="2266"/>
      <c r="F222" s="2265" t="s">
        <v>184</v>
      </c>
      <c r="G222" s="1370"/>
      <c r="H222" s="1370"/>
      <c r="I222" s="1370"/>
      <c r="J222" s="1370"/>
      <c r="K222" s="1370"/>
      <c r="L222" s="1376"/>
      <c r="M222" s="1372"/>
      <c r="N222" s="1372"/>
      <c r="O222" s="1372"/>
      <c r="P222" s="2132"/>
      <c r="Q222" s="359"/>
      <c r="R222" s="360"/>
      <c r="S222" s="2280" t="str">
        <f>INDEX(PT_DIFFERENTIATION_NUM_TER,MATCH(B222,PT_DIFFERENTIATION_TER_ID,0))</f>
        <v>1.19</v>
      </c>
      <c r="T222" s="1529" t="s">
        <v>560</v>
      </c>
      <c r="U222" s="307"/>
      <c r="V222" s="2249"/>
      <c r="W222" s="2250"/>
      <c r="X222" s="2250"/>
      <c r="Y222" s="2250"/>
      <c r="Z222" s="2250"/>
      <c r="AA222" s="2250"/>
      <c r="AB222" s="2251"/>
      <c r="AC222" s="2249" t="str">
        <f>INDEX(PT_DIFFERENTIATION_TER,MATCH(B222,PT_DIFFERENTIATION_TER_ID,0))</f>
        <v>Территория 19</v>
      </c>
      <c r="AD222" s="2250"/>
      <c r="AE222" s="2250"/>
      <c r="AF222" s="2250"/>
      <c r="AG222" s="2250"/>
      <c r="AH222" s="2250"/>
      <c r="AI222" s="2250"/>
      <c r="AJ222" s="2249"/>
      <c r="AK222" s="2250"/>
      <c r="AL222" s="2250"/>
      <c r="AM222" s="2250"/>
      <c r="AN222" s="2250"/>
      <c r="AO222" s="2250"/>
      <c r="AP222" s="2251"/>
      <c r="AQ222" s="2249"/>
      <c r="AR222" s="2250"/>
      <c r="AS222" s="2250"/>
      <c r="AT222" s="2250"/>
      <c r="AU222" s="2250"/>
      <c r="AV222" s="2250"/>
      <c r="AW222" s="2251"/>
      <c r="AX222" s="2249"/>
      <c r="AY222" s="2250"/>
      <c r="AZ222" s="2250"/>
      <c r="BA222" s="2250"/>
      <c r="BB222" s="2250"/>
      <c r="BC222" s="2250"/>
      <c r="BD222" s="2251"/>
      <c r="BE222" s="2249"/>
      <c r="BF222" s="2250"/>
      <c r="BG222" s="2250"/>
      <c r="BH222" s="2250"/>
      <c r="BI222" s="2250"/>
      <c r="BJ222" s="2250"/>
      <c r="BK222" s="2251"/>
      <c r="BL222" s="2249"/>
      <c r="BM222" s="2250"/>
      <c r="BN222" s="2250"/>
      <c r="BO222" s="2250"/>
      <c r="BP222" s="2250"/>
      <c r="BQ222" s="2250"/>
      <c r="BR222" s="2251"/>
      <c r="BS222" s="2249"/>
      <c r="BT222" s="2250"/>
      <c r="BU222" s="2250"/>
      <c r="BV222" s="2250"/>
      <c r="BW222" s="2250"/>
      <c r="BX222" s="2250"/>
      <c r="BY222" s="2251"/>
      <c r="BZ222" s="2249"/>
      <c r="CA222" s="2250"/>
      <c r="CB222" s="2250"/>
      <c r="CC222" s="2250"/>
      <c r="CD222" s="2250"/>
      <c r="CE222" s="2250"/>
      <c r="CF222" s="2251"/>
      <c r="CG222" s="2249"/>
      <c r="CH222" s="2250"/>
      <c r="CI222" s="2250"/>
      <c r="CJ222" s="2250"/>
      <c r="CK222" s="2250"/>
      <c r="CL222" s="2250"/>
      <c r="CM222" s="4492"/>
      <c r="CN222" s="2251"/>
      <c r="CO222" s="1265" t="s">
        <v>561</v>
      </c>
      <c r="CP222" s="1649"/>
      <c r="CQ222" s="1631"/>
      <c r="CR222" s="1631" t="str">
        <f>IF(T222="","",T222)</f>
        <v>Территория действия тарифа</v>
      </c>
      <c r="CS222" s="1631"/>
      <c r="CT222" s="1631"/>
      <c r="CU222" s="1642">
        <v>0</v>
      </c>
    </row>
    <row s="1857" customFormat="1" customHeight="1" ht="23.25">
      <c r="A223" s="1370"/>
      <c r="B223" s="1370"/>
      <c r="C223" s="1370" t="s">
        <v>380</v>
      </c>
      <c r="D223" s="1370"/>
      <c r="E223" s="2266"/>
      <c r="F223" s="2266" t="s">
        <v>182</v>
      </c>
      <c r="G223" s="2265">
        <v>1</v>
      </c>
      <c r="H223" s="1370"/>
      <c r="I223" s="1370"/>
      <c r="J223" s="1370"/>
      <c r="K223" s="1370"/>
      <c r="L223" s="1376"/>
      <c r="M223" s="1372"/>
      <c r="N223" s="1372"/>
      <c r="O223" s="1372"/>
      <c r="P223" s="361"/>
      <c r="Q223" s="359"/>
      <c r="R223" s="360"/>
      <c r="S223" s="2280" t="str">
        <f>INDEX(PT_DIFFERENTIATION_NUM_CS,MATCH(C223,PT_DIFFERENTIATION_CS_ID,0))</f>
        <v>1.19.1</v>
      </c>
      <c r="T223" s="316" t="s">
        <v>641</v>
      </c>
      <c r="U223" s="307"/>
      <c r="V223" s="2249"/>
      <c r="W223" s="2250"/>
      <c r="X223" s="2250"/>
      <c r="Y223" s="2250"/>
      <c r="Z223" s="2250"/>
      <c r="AA223" s="2250"/>
      <c r="AB223" s="2251"/>
      <c r="AC223" s="2249" t="str">
        <f>INDEX(PT_DIFFERENTIATION_CS,MATCH(C223,PT_DIFFERENTIATION_CS_ID,0))</f>
        <v>Чернянский район (п. Чернянска)</v>
      </c>
      <c r="AD223" s="2250"/>
      <c r="AE223" s="2250"/>
      <c r="AF223" s="2250"/>
      <c r="AG223" s="2250"/>
      <c r="AH223" s="2250"/>
      <c r="AI223" s="2250"/>
      <c r="AJ223" s="2249"/>
      <c r="AK223" s="2250"/>
      <c r="AL223" s="2250"/>
      <c r="AM223" s="2250"/>
      <c r="AN223" s="2250"/>
      <c r="AO223" s="2250"/>
      <c r="AP223" s="2251"/>
      <c r="AQ223" s="2249"/>
      <c r="AR223" s="2250"/>
      <c r="AS223" s="2250"/>
      <c r="AT223" s="2250"/>
      <c r="AU223" s="2250"/>
      <c r="AV223" s="2250"/>
      <c r="AW223" s="2251"/>
      <c r="AX223" s="2249"/>
      <c r="AY223" s="2250"/>
      <c r="AZ223" s="2250"/>
      <c r="BA223" s="2250"/>
      <c r="BB223" s="2250"/>
      <c r="BC223" s="2250"/>
      <c r="BD223" s="2251"/>
      <c r="BE223" s="2249"/>
      <c r="BF223" s="2250"/>
      <c r="BG223" s="2250"/>
      <c r="BH223" s="2250"/>
      <c r="BI223" s="2250"/>
      <c r="BJ223" s="2250"/>
      <c r="BK223" s="2251"/>
      <c r="BL223" s="2249"/>
      <c r="BM223" s="2250"/>
      <c r="BN223" s="2250"/>
      <c r="BO223" s="2250"/>
      <c r="BP223" s="2250"/>
      <c r="BQ223" s="2250"/>
      <c r="BR223" s="2251"/>
      <c r="BS223" s="2249"/>
      <c r="BT223" s="2250"/>
      <c r="BU223" s="2250"/>
      <c r="BV223" s="2250"/>
      <c r="BW223" s="2250"/>
      <c r="BX223" s="2250"/>
      <c r="BY223" s="2251"/>
      <c r="BZ223" s="2249"/>
      <c r="CA223" s="2250"/>
      <c r="CB223" s="2250"/>
      <c r="CC223" s="2250"/>
      <c r="CD223" s="2250"/>
      <c r="CE223" s="2250"/>
      <c r="CF223" s="2251"/>
      <c r="CG223" s="2249"/>
      <c r="CH223" s="2250"/>
      <c r="CI223" s="2250"/>
      <c r="CJ223" s="2250"/>
      <c r="CK223" s="2250"/>
      <c r="CL223" s="2250"/>
      <c r="CM223" s="4492"/>
      <c r="CN223" s="2251"/>
      <c r="CO223" s="1265" t="s">
        <v>642</v>
      </c>
      <c r="CP223" s="1649"/>
      <c r="CQ223" s="1631"/>
      <c r="CR223" s="1631" t="str">
        <f>IF(T223="","",T223)</f>
        <v>Наименование централизованной системы холодного водоснабжения</v>
      </c>
      <c r="CS223" s="1631"/>
      <c r="CT223" s="1631"/>
      <c r="CU223" s="1642">
        <v>0</v>
      </c>
    </row>
    <row s="1857" customFormat="1" customHeight="1" ht="23.25">
      <c r="A224" s="1370"/>
      <c r="B224" s="1370"/>
      <c r="C224" s="1370"/>
      <c r="D224" s="1370"/>
      <c r="E224" s="2266"/>
      <c r="F224" s="2266" t="s">
        <v>182</v>
      </c>
      <c r="G224" s="2266"/>
      <c r="H224" s="2266"/>
      <c r="I224" s="2263" t="str">
        <f>S223&amp;".1"</f>
        <v>1.19.1.1</v>
      </c>
      <c r="J224" s="1370"/>
      <c r="K224" s="1370"/>
      <c r="L224" s="1376"/>
      <c r="M224" s="1783"/>
      <c r="N224" s="1783"/>
      <c r="O224" s="1783"/>
      <c r="P224" s="2381">
        <v>1</v>
      </c>
      <c r="Q224" s="2381"/>
      <c r="R224" s="363"/>
      <c r="S224" s="2280" t="str">
        <f>$I224</f>
        <v>1.19.1.1</v>
      </c>
      <c r="T224" s="292" t="s">
        <v>643</v>
      </c>
      <c r="U224" s="307"/>
      <c r="V224" s="2357"/>
      <c r="W224" s="2358"/>
      <c r="X224" s="2358"/>
      <c r="Y224" s="2358"/>
      <c r="Z224" s="2358"/>
      <c r="AA224" s="2358"/>
      <c r="AB224" s="2359"/>
      <c r="AC224" s="2360" t="s">
        <v>378</v>
      </c>
      <c r="AD224" s="2361"/>
      <c r="AE224" s="2361"/>
      <c r="AF224" s="2361"/>
      <c r="AG224" s="2361"/>
      <c r="AH224" s="2361"/>
      <c r="AI224" s="2361"/>
      <c r="AJ224" s="2357"/>
      <c r="AK224" s="2358"/>
      <c r="AL224" s="2358"/>
      <c r="AM224" s="2358"/>
      <c r="AN224" s="2358"/>
      <c r="AO224" s="2358"/>
      <c r="AP224" s="2359"/>
      <c r="AQ224" s="2357"/>
      <c r="AR224" s="2358"/>
      <c r="AS224" s="2358"/>
      <c r="AT224" s="2358"/>
      <c r="AU224" s="2358"/>
      <c r="AV224" s="2358"/>
      <c r="AW224" s="2359"/>
      <c r="AX224" s="2357"/>
      <c r="AY224" s="2358"/>
      <c r="AZ224" s="2358"/>
      <c r="BA224" s="2358"/>
      <c r="BB224" s="2358"/>
      <c r="BC224" s="2358"/>
      <c r="BD224" s="2359"/>
      <c r="BE224" s="2357"/>
      <c r="BF224" s="2358"/>
      <c r="BG224" s="2358"/>
      <c r="BH224" s="2358"/>
      <c r="BI224" s="2358"/>
      <c r="BJ224" s="2358"/>
      <c r="BK224" s="2359"/>
      <c r="BL224" s="2357"/>
      <c r="BM224" s="2358"/>
      <c r="BN224" s="2358"/>
      <c r="BO224" s="2358"/>
      <c r="BP224" s="2358"/>
      <c r="BQ224" s="2358"/>
      <c r="BR224" s="2359"/>
      <c r="BS224" s="2357"/>
      <c r="BT224" s="2358"/>
      <c r="BU224" s="2358"/>
      <c r="BV224" s="2358"/>
      <c r="BW224" s="2358"/>
      <c r="BX224" s="2358"/>
      <c r="BY224" s="2359"/>
      <c r="BZ224" s="2357"/>
      <c r="CA224" s="2358"/>
      <c r="CB224" s="2358"/>
      <c r="CC224" s="2358"/>
      <c r="CD224" s="2358"/>
      <c r="CE224" s="2358"/>
      <c r="CF224" s="2359"/>
      <c r="CG224" s="2357"/>
      <c r="CH224" s="2358"/>
      <c r="CI224" s="2358"/>
      <c r="CJ224" s="2358"/>
      <c r="CK224" s="2358"/>
      <c r="CL224" s="2358"/>
      <c r="CM224" s="4495"/>
      <c r="CN224" s="2362"/>
      <c r="CO224" s="1265" t="s">
        <v>644</v>
      </c>
      <c r="CP224" s="1649"/>
      <c r="CQ224" s="1631"/>
      <c r="CR224" s="1631" t="str">
        <f>IF(T224="","",T224)</f>
        <v>Наименование признака дифференциации</v>
      </c>
      <c r="CS224" s="1631"/>
      <c r="CT224" s="1631"/>
      <c r="CU224" s="1642">
        <v>0</v>
      </c>
    </row>
    <row s="1857" customFormat="1" customHeight="1" ht="23.25">
      <c r="A225" s="1370"/>
      <c r="B225" s="1370"/>
      <c r="C225" s="1370"/>
      <c r="D225" s="1370"/>
      <c r="E225" s="2266"/>
      <c r="F225" s="2266" t="s">
        <v>182</v>
      </c>
      <c r="G225" s="2266"/>
      <c r="H225" s="2266"/>
      <c r="I225" s="2293"/>
      <c r="J225" s="2263" t="str">
        <f>I224&amp;".1"</f>
        <v>1.19.1.1.1</v>
      </c>
      <c r="K225" s="1370"/>
      <c r="L225" s="1376" t="s">
        <v>569</v>
      </c>
      <c r="M225" s="1783"/>
      <c r="N225" s="1783"/>
      <c r="O225" s="1783"/>
      <c r="P225" s="2381"/>
      <c r="Q225" s="2381">
        <v>1</v>
      </c>
      <c r="R225" s="364"/>
      <c r="S225" s="2280" t="str">
        <f>$J225</f>
        <v>1.19.1.1.1</v>
      </c>
      <c r="T225" s="293" t="s">
        <v>570</v>
      </c>
      <c r="U225" s="307"/>
      <c r="V225" s="2252"/>
      <c r="W225" s="2253"/>
      <c r="X225" s="2253"/>
      <c r="Y225" s="2253"/>
      <c r="Z225" s="2253"/>
      <c r="AA225" s="2253"/>
      <c r="AB225" s="2254"/>
      <c r="AC225" s="2252" t="s">
        <v>656</v>
      </c>
      <c r="AD225" s="2253"/>
      <c r="AE225" s="2253"/>
      <c r="AF225" s="2253"/>
      <c r="AG225" s="2253"/>
      <c r="AH225" s="2253"/>
      <c r="AI225" s="2253"/>
      <c r="AJ225" s="2252"/>
      <c r="AK225" s="2253"/>
      <c r="AL225" s="2253"/>
      <c r="AM225" s="2253"/>
      <c r="AN225" s="2253"/>
      <c r="AO225" s="2253"/>
      <c r="AP225" s="2254"/>
      <c r="AQ225" s="2252"/>
      <c r="AR225" s="2253"/>
      <c r="AS225" s="2253"/>
      <c r="AT225" s="2253"/>
      <c r="AU225" s="2253"/>
      <c r="AV225" s="2253"/>
      <c r="AW225" s="2254"/>
      <c r="AX225" s="2252"/>
      <c r="AY225" s="2253"/>
      <c r="AZ225" s="2253"/>
      <c r="BA225" s="2253"/>
      <c r="BB225" s="2253"/>
      <c r="BC225" s="2253"/>
      <c r="BD225" s="2254"/>
      <c r="BE225" s="2252"/>
      <c r="BF225" s="2253"/>
      <c r="BG225" s="2253"/>
      <c r="BH225" s="2253"/>
      <c r="BI225" s="2253"/>
      <c r="BJ225" s="2253"/>
      <c r="BK225" s="2254"/>
      <c r="BL225" s="2252"/>
      <c r="BM225" s="2253"/>
      <c r="BN225" s="2253"/>
      <c r="BO225" s="2253"/>
      <c r="BP225" s="2253"/>
      <c r="BQ225" s="2253"/>
      <c r="BR225" s="2254"/>
      <c r="BS225" s="2252"/>
      <c r="BT225" s="2253"/>
      <c r="BU225" s="2253"/>
      <c r="BV225" s="2253"/>
      <c r="BW225" s="2253"/>
      <c r="BX225" s="2253"/>
      <c r="BY225" s="2254"/>
      <c r="BZ225" s="2252"/>
      <c r="CA225" s="2253"/>
      <c r="CB225" s="2253"/>
      <c r="CC225" s="2253"/>
      <c r="CD225" s="2253"/>
      <c r="CE225" s="2253"/>
      <c r="CF225" s="2254"/>
      <c r="CG225" s="2252"/>
      <c r="CH225" s="2253"/>
      <c r="CI225" s="2253"/>
      <c r="CJ225" s="2253"/>
      <c r="CK225" s="2253"/>
      <c r="CL225" s="2253"/>
      <c r="CM225" s="4498"/>
      <c r="CN225" s="2254"/>
      <c r="CO225" s="1314" t="s">
        <v>645</v>
      </c>
      <c r="CP225" s="1649"/>
      <c r="CQ225" s="1631"/>
      <c r="CR225" s="1631" t="str">
        <f>IF(T225="","",T225)</f>
        <v>Группа потребителей</v>
      </c>
      <c r="CS225" s="1631"/>
      <c r="CT225" s="1631"/>
      <c r="CU225" s="1642">
        <v>0</v>
      </c>
    </row>
    <row s="1857" customFormat="1" customHeight="1" ht="23.25">
      <c r="A226" s="1370"/>
      <c r="B226" s="1370"/>
      <c r="C226" s="1370"/>
      <c r="D226" s="1370"/>
      <c r="E226" s="2266"/>
      <c r="F226" s="2266" t="s">
        <v>182</v>
      </c>
      <c r="G226" s="2266"/>
      <c r="H226" s="2266"/>
      <c r="I226" s="2293"/>
      <c r="J226" s="2293"/>
      <c r="K226" s="2263" t="str">
        <f>J225&amp;".1"</f>
        <v>1.19.1.1.1.1</v>
      </c>
      <c r="L226" s="1376"/>
      <c r="M226" s="1783"/>
      <c r="N226" s="1783"/>
      <c r="O226" s="1783"/>
      <c r="P226" s="2381"/>
      <c r="Q226" s="2381"/>
      <c r="R226" s="364">
        <v>1</v>
      </c>
      <c r="S226" s="2280" t="str">
        <f>$K226</f>
        <v>1.19.1.1.1.1</v>
      </c>
      <c r="T226" s="1444" t="s">
        <v>657</v>
      </c>
      <c r="U226" s="307"/>
      <c r="V226" s="758"/>
      <c r="W226" s="758"/>
      <c r="X226" s="1264"/>
      <c r="Y226" s="2609"/>
      <c r="Z226" s="2114" t="s">
        <v>66</v>
      </c>
      <c r="AA226" s="2609"/>
      <c r="AB226" s="2114" t="s">
        <v>66</v>
      </c>
      <c r="AC226" s="758">
        <v>28.8</v>
      </c>
      <c r="AD226" s="758"/>
      <c r="AE226" s="1264"/>
      <c r="AF226" s="2609">
        <v>44896</v>
      </c>
      <c r="AG226" s="2114" t="s">
        <v>66</v>
      </c>
      <c r="AH226" s="2294">
        <v>45291</v>
      </c>
      <c r="AI226" s="2114" t="s">
        <v>66</v>
      </c>
      <c r="AJ226" s="758">
        <v>28.8</v>
      </c>
      <c r="AK226" s="758"/>
      <c r="AL226" s="1264"/>
      <c r="AM226" s="2609">
        <v>45292</v>
      </c>
      <c r="AN226" s="2114" t="s">
        <v>66</v>
      </c>
      <c r="AO226" s="2609">
        <v>45473</v>
      </c>
      <c r="AP226" s="2114" t="s">
        <v>66</v>
      </c>
      <c r="AQ226" s="758">
        <v>32.37</v>
      </c>
      <c r="AR226" s="758"/>
      <c r="AS226" s="1264"/>
      <c r="AT226" s="2609">
        <v>45474</v>
      </c>
      <c r="AU226" s="2114" t="s">
        <v>66</v>
      </c>
      <c r="AV226" s="2609">
        <v>45657</v>
      </c>
      <c r="AW226" s="2114" t="s">
        <v>66</v>
      </c>
      <c r="AX226" s="758">
        <v>32.37</v>
      </c>
      <c r="AY226" s="758"/>
      <c r="AZ226" s="1264"/>
      <c r="BA226" s="2609">
        <v>45658</v>
      </c>
      <c r="BB226" s="2114" t="s">
        <v>66</v>
      </c>
      <c r="BC226" s="2609">
        <v>45838</v>
      </c>
      <c r="BD226" s="2114" t="s">
        <v>66</v>
      </c>
      <c r="BE226" s="758">
        <v>137.2</v>
      </c>
      <c r="BF226" s="758"/>
      <c r="BG226" s="1264"/>
      <c r="BH226" s="2609">
        <v>45839</v>
      </c>
      <c r="BI226" s="2114" t="s">
        <v>66</v>
      </c>
      <c r="BJ226" s="2609">
        <v>46022</v>
      </c>
      <c r="BK226" s="2114" t="s">
        <v>66</v>
      </c>
      <c r="BL226" s="758">
        <v>31.22</v>
      </c>
      <c r="BM226" s="758"/>
      <c r="BN226" s="1264"/>
      <c r="BO226" s="2609">
        <v>46023</v>
      </c>
      <c r="BP226" s="2114" t="s">
        <v>66</v>
      </c>
      <c r="BQ226" s="2609">
        <v>46203</v>
      </c>
      <c r="BR226" s="2114" t="s">
        <v>66</v>
      </c>
      <c r="BS226" s="758">
        <v>33.38</v>
      </c>
      <c r="BT226" s="758"/>
      <c r="BU226" s="1264"/>
      <c r="BV226" s="2609">
        <v>46204</v>
      </c>
      <c r="BW226" s="2114" t="s">
        <v>66</v>
      </c>
      <c r="BX226" s="2609">
        <v>46387</v>
      </c>
      <c r="BY226" s="2114" t="s">
        <v>66</v>
      </c>
      <c r="BZ226" s="758">
        <v>33.38</v>
      </c>
      <c r="CA226" s="758"/>
      <c r="CB226" s="1264"/>
      <c r="CC226" s="2609">
        <v>46388</v>
      </c>
      <c r="CD226" s="2114" t="s">
        <v>66</v>
      </c>
      <c r="CE226" s="2609">
        <v>46568</v>
      </c>
      <c r="CF226" s="2114" t="s">
        <v>66</v>
      </c>
      <c r="CG226" s="758">
        <v>33.47</v>
      </c>
      <c r="CH226" s="758"/>
      <c r="CI226" s="1264"/>
      <c r="CJ226" s="2609">
        <v>46569</v>
      </c>
      <c r="CK226" s="2114" t="s">
        <v>66</v>
      </c>
      <c r="CL226" s="2609">
        <v>46752</v>
      </c>
      <c r="CM226" s="2114" t="s">
        <v>66</v>
      </c>
      <c r="CN226" s="1445"/>
      <c r="CO22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226" s="1649">
        <f>STRCHECKDATE(V227:CN227)</f>
      </c>
      <c r="CQ226" s="1631"/>
      <c r="CR226" s="1631" t="str">
        <f>IF(T226="","",T226)</f>
        <v>Тариф по водоснабжению без НДС</v>
      </c>
      <c r="CS226" s="1631"/>
      <c r="CT226" s="1631"/>
      <c r="CU226" s="1642">
        <v>0</v>
      </c>
    </row>
    <row s="1857" customFormat="1" customHeight="1" ht="14.25">
      <c r="A227" s="1370"/>
      <c r="B227" s="1370"/>
      <c r="C227" s="1370"/>
      <c r="D227" s="1370"/>
      <c r="E227" s="2266"/>
      <c r="F227" s="2266" t="s">
        <v>182</v>
      </c>
      <c r="G227" s="2266"/>
      <c r="H227" s="2266"/>
      <c r="I227" s="2293"/>
      <c r="J227" s="2293"/>
      <c r="K227" s="2263"/>
      <c r="L227" s="1376"/>
      <c r="M227" s="1783"/>
      <c r="N227" s="1783"/>
      <c r="O227" s="1783"/>
      <c r="P227" s="2381"/>
      <c r="Q227" s="2381"/>
      <c r="R227" s="364"/>
      <c r="S227" s="2520"/>
      <c r="T227" s="307"/>
      <c r="U227" s="307"/>
      <c r="V227" s="332"/>
      <c r="W227" s="332"/>
      <c r="X227" s="335" t="str">
        <f>Y226&amp;"-"&amp;AA226</f>
        <v>-</v>
      </c>
      <c r="Y227" s="2316"/>
      <c r="Z227" s="2114"/>
      <c r="AA227" s="2316"/>
      <c r="AB227" s="2114"/>
      <c r="AC227" s="332"/>
      <c r="AD227" s="332"/>
      <c r="AE227" s="335" t="str">
        <f>AF226&amp;"-"&amp;AH226</f>
        <v>44896-45291</v>
      </c>
      <c r="AF227" s="2316"/>
      <c r="AG227" s="2114"/>
      <c r="AH227" s="2295"/>
      <c r="AI227" s="2114"/>
      <c r="AJ227" s="332"/>
      <c r="AK227" s="332"/>
      <c r="AL227" s="335" t="str">
        <f>AM226&amp;"-"&amp;AO226</f>
        <v>45292-45473</v>
      </c>
      <c r="AM227" s="2316"/>
      <c r="AN227" s="2114"/>
      <c r="AO227" s="2316"/>
      <c r="AP227" s="2114"/>
      <c r="AQ227" s="332"/>
      <c r="AR227" s="332"/>
      <c r="AS227" s="335" t="str">
        <f>AT226&amp;"-"&amp;AV226</f>
        <v>45474-45657</v>
      </c>
      <c r="AT227" s="2316"/>
      <c r="AU227" s="2114"/>
      <c r="AV227" s="2316"/>
      <c r="AW227" s="2114"/>
      <c r="AX227" s="332"/>
      <c r="AY227" s="332"/>
      <c r="AZ227" s="335" t="str">
        <f>BA226&amp;"-"&amp;BC226</f>
        <v>45658-45838</v>
      </c>
      <c r="BA227" s="2316"/>
      <c r="BB227" s="2114"/>
      <c r="BC227" s="2316"/>
      <c r="BD227" s="2114"/>
      <c r="BE227" s="332"/>
      <c r="BF227" s="332"/>
      <c r="BG227" s="335" t="str">
        <f>BH226&amp;"-"&amp;BJ226</f>
        <v>45839-46022</v>
      </c>
      <c r="BH227" s="2316"/>
      <c r="BI227" s="2114"/>
      <c r="BJ227" s="2316"/>
      <c r="BK227" s="2114"/>
      <c r="BL227" s="332"/>
      <c r="BM227" s="332"/>
      <c r="BN227" s="335" t="str">
        <f>BO226&amp;"-"&amp;BQ226</f>
        <v>46023-46203</v>
      </c>
      <c r="BO227" s="2316"/>
      <c r="BP227" s="2114"/>
      <c r="BQ227" s="2316"/>
      <c r="BR227" s="2114"/>
      <c r="BS227" s="332"/>
      <c r="BT227" s="332"/>
      <c r="BU227" s="335" t="str">
        <f>BV226&amp;"-"&amp;BX226</f>
        <v>46204-46387</v>
      </c>
      <c r="BV227" s="2316"/>
      <c r="BW227" s="2114"/>
      <c r="BX227" s="2316"/>
      <c r="BY227" s="2114"/>
      <c r="BZ227" s="332"/>
      <c r="CA227" s="332"/>
      <c r="CB227" s="335" t="str">
        <f>CC226&amp;"-"&amp;CE226</f>
        <v>46388-46568</v>
      </c>
      <c r="CC227" s="2316"/>
      <c r="CD227" s="2114"/>
      <c r="CE227" s="2316"/>
      <c r="CF227" s="2114"/>
      <c r="CG227" s="332"/>
      <c r="CH227" s="332"/>
      <c r="CI227" s="335" t="str">
        <f>CJ226&amp;"-"&amp;CL226</f>
        <v>46569-46752</v>
      </c>
      <c r="CJ227" s="2316"/>
      <c r="CK227" s="2114"/>
      <c r="CL227" s="2316"/>
      <c r="CM227" s="2114"/>
      <c r="CN227" s="1446"/>
      <c r="CO227" s="2356"/>
      <c r="CP227" s="1649"/>
      <c r="CQ227" s="1631"/>
      <c r="CR227" s="1631" t="str">
        <f>IF(T227="","",T227)</f>
        <v/>
      </c>
      <c r="CS227" s="1631"/>
      <c r="CT227" s="1631"/>
      <c r="CU227" s="1642">
        <v>0</v>
      </c>
    </row>
    <row s="1857" customFormat="1" customHeight="1" ht="21">
      <c r="A228" s="1370"/>
      <c r="B228" s="1370"/>
      <c r="C228" s="1370"/>
      <c r="D228" s="1370"/>
      <c r="E228" s="2266"/>
      <c r="F228" s="2266" t="s">
        <v>182</v>
      </c>
      <c r="G228" s="2266"/>
      <c r="H228" s="2266"/>
      <c r="I228" s="2293"/>
      <c r="J228" s="2263"/>
      <c r="K228" s="1370"/>
      <c r="L228" s="1376"/>
      <c r="M228" s="1783"/>
      <c r="N228" s="1783"/>
      <c r="O228" s="1783"/>
      <c r="P228" s="2381"/>
      <c r="Q228" s="2381"/>
      <c r="R228" s="363"/>
      <c r="S228" s="4102"/>
      <c r="T228" s="4103" t="s">
        <v>646</v>
      </c>
      <c r="U228" s="4104"/>
      <c r="V228" s="4105"/>
      <c r="W228" s="4106"/>
      <c r="X228" s="4107"/>
      <c r="Y228" s="4108"/>
      <c r="Z228" s="4109"/>
      <c r="AA228" s="4110"/>
      <c r="AB228" s="4111"/>
      <c r="AC228" s="4112"/>
      <c r="AD228" s="4113"/>
      <c r="AE228" s="4114"/>
      <c r="AF228" s="4115"/>
      <c r="AG228" s="4116"/>
      <c r="AH228" s="4117"/>
      <c r="AI228" s="4118"/>
      <c r="AJ228" s="12186"/>
      <c r="AK228" s="12187"/>
      <c r="AL228" s="12188"/>
      <c r="AM228" s="12189"/>
      <c r="AN228" s="12190"/>
      <c r="AO228" s="12191"/>
      <c r="AP228" s="12192"/>
      <c r="AQ228" s="12193"/>
      <c r="AR228" s="12194"/>
      <c r="AS228" s="12195"/>
      <c r="AT228" s="12196"/>
      <c r="AU228" s="12197"/>
      <c r="AV228" s="12198"/>
      <c r="AW228" s="12199"/>
      <c r="AX228" s="12200"/>
      <c r="AY228" s="12201"/>
      <c r="AZ228" s="12202"/>
      <c r="BA228" s="12203"/>
      <c r="BB228" s="12204"/>
      <c r="BC228" s="12205"/>
      <c r="BD228" s="12206"/>
      <c r="BE228" s="12207"/>
      <c r="BF228" s="12208"/>
      <c r="BG228" s="12209"/>
      <c r="BH228" s="12210"/>
      <c r="BI228" s="12211"/>
      <c r="BJ228" s="12212"/>
      <c r="BK228" s="12213"/>
      <c r="BL228" s="12214"/>
      <c r="BM228" s="12215"/>
      <c r="BN228" s="12216"/>
      <c r="BO228" s="12217"/>
      <c r="BP228" s="12218"/>
      <c r="BQ228" s="12219"/>
      <c r="BR228" s="12220"/>
      <c r="BS228" s="12221"/>
      <c r="BT228" s="12222"/>
      <c r="BU228" s="12223"/>
      <c r="BV228" s="12224"/>
      <c r="BW228" s="12225"/>
      <c r="BX228" s="12226"/>
      <c r="BY228" s="12227"/>
      <c r="BZ228" s="12228"/>
      <c r="CA228" s="12229"/>
      <c r="CB228" s="12230"/>
      <c r="CC228" s="12231"/>
      <c r="CD228" s="12232"/>
      <c r="CE228" s="12233"/>
      <c r="CF228" s="12234"/>
      <c r="CG228" s="12235"/>
      <c r="CH228" s="12236"/>
      <c r="CI228" s="12237"/>
      <c r="CJ228" s="12238"/>
      <c r="CK228" s="12239"/>
      <c r="CL228" s="12240"/>
      <c r="CM228" s="12748"/>
      <c r="CN228" s="4126"/>
      <c r="CO228" s="1265" t="s">
        <v>647</v>
      </c>
      <c r="CP228" s="1649"/>
      <c r="CQ228" s="1631"/>
      <c r="CR228" s="1631" t="str">
        <f>IF(T228="","",T228)</f>
        <v>Добавить значение признака дифференциации</v>
      </c>
      <c r="CS228" s="1631"/>
      <c r="CT228" s="1631"/>
      <c r="CU228" s="1642">
        <v>0</v>
      </c>
    </row>
    <row s="1857" customFormat="1" customHeight="1" ht="21">
      <c r="A229" s="1370"/>
      <c r="B229" s="1370"/>
      <c r="C229" s="1370"/>
      <c r="D229" s="1370"/>
      <c r="E229" s="2266"/>
      <c r="F229" s="2266" t="s">
        <v>182</v>
      </c>
      <c r="G229" s="2266"/>
      <c r="H229" s="2266"/>
      <c r="I229" s="2263"/>
      <c r="J229" s="1370"/>
      <c r="K229" s="1370"/>
      <c r="L229" s="1376"/>
      <c r="M229" s="1783"/>
      <c r="N229" s="1783"/>
      <c r="O229" s="1783"/>
      <c r="P229" s="2381"/>
      <c r="Q229" s="2381"/>
      <c r="R229" s="363"/>
      <c r="S229" s="4127"/>
      <c r="T229" s="4128" t="s">
        <v>575</v>
      </c>
      <c r="U229" s="4129"/>
      <c r="V229" s="4130"/>
      <c r="W229" s="4131"/>
      <c r="X229" s="4132"/>
      <c r="Y229" s="4133"/>
      <c r="Z229" s="4134"/>
      <c r="AA229" s="4135"/>
      <c r="AB229" s="4136"/>
      <c r="AC229" s="4137"/>
      <c r="AD229" s="4138"/>
      <c r="AE229" s="4139"/>
      <c r="AF229" s="4140"/>
      <c r="AG229" s="4141"/>
      <c r="AH229" s="4142"/>
      <c r="AI229" s="4143"/>
      <c r="AJ229" s="12242"/>
      <c r="AK229" s="12243"/>
      <c r="AL229" s="12244"/>
      <c r="AM229" s="12245"/>
      <c r="AN229" s="12246"/>
      <c r="AO229" s="12247"/>
      <c r="AP229" s="12248"/>
      <c r="AQ229" s="12249"/>
      <c r="AR229" s="12250"/>
      <c r="AS229" s="12251"/>
      <c r="AT229" s="12252"/>
      <c r="AU229" s="12253"/>
      <c r="AV229" s="12254"/>
      <c r="AW229" s="12255"/>
      <c r="AX229" s="12256"/>
      <c r="AY229" s="12257"/>
      <c r="AZ229" s="12258"/>
      <c r="BA229" s="12259"/>
      <c r="BB229" s="12260"/>
      <c r="BC229" s="12261"/>
      <c r="BD229" s="12262"/>
      <c r="BE229" s="12263"/>
      <c r="BF229" s="12264"/>
      <c r="BG229" s="12265"/>
      <c r="BH229" s="12266"/>
      <c r="BI229" s="12267"/>
      <c r="BJ229" s="12268"/>
      <c r="BK229" s="12269"/>
      <c r="BL229" s="12270"/>
      <c r="BM229" s="12271"/>
      <c r="BN229" s="12272"/>
      <c r="BO229" s="12273"/>
      <c r="BP229" s="12274"/>
      <c r="BQ229" s="12275"/>
      <c r="BR229" s="12276"/>
      <c r="BS229" s="12277"/>
      <c r="BT229" s="12278"/>
      <c r="BU229" s="12279"/>
      <c r="BV229" s="12280"/>
      <c r="BW229" s="12281"/>
      <c r="BX229" s="12282"/>
      <c r="BY229" s="12283"/>
      <c r="BZ229" s="12284"/>
      <c r="CA229" s="12285"/>
      <c r="CB229" s="12286"/>
      <c r="CC229" s="12287"/>
      <c r="CD229" s="12288"/>
      <c r="CE229" s="12289"/>
      <c r="CF229" s="12290"/>
      <c r="CG229" s="12291"/>
      <c r="CH229" s="12292"/>
      <c r="CI229" s="12293"/>
      <c r="CJ229" s="12294"/>
      <c r="CK229" s="12295"/>
      <c r="CL229" s="12296"/>
      <c r="CM229" s="12749"/>
      <c r="CN229" s="4151"/>
      <c r="CO229" s="4152"/>
      <c r="CP229" s="1649"/>
      <c r="CQ229" s="1631"/>
      <c r="CR229" s="1631" t="str">
        <f>IF(T229="","",T229)</f>
        <v>Добавить группу потребителей</v>
      </c>
      <c r="CS229" s="1631"/>
      <c r="CT229" s="1631"/>
      <c r="CU229" s="1642">
        <v>0</v>
      </c>
    </row>
    <row s="1857" customFormat="1" customHeight="1" ht="14.25">
      <c r="A230" s="1370"/>
      <c r="B230" s="1370"/>
      <c r="C230" s="1370"/>
      <c r="D230" s="1370"/>
      <c r="E230" s="2266"/>
      <c r="F230" s="2266" t="s">
        <v>182</v>
      </c>
      <c r="G230" s="2266"/>
      <c r="H230" s="2265"/>
      <c r="I230" s="1370"/>
      <c r="J230" s="1370"/>
      <c r="K230" s="1370"/>
      <c r="L230" s="1376"/>
      <c r="M230" s="1372"/>
      <c r="N230" s="1372"/>
      <c r="O230" s="1373"/>
      <c r="P230" s="1830"/>
      <c r="Q230" s="382"/>
      <c r="R230" s="362"/>
      <c r="S230" s="4153"/>
      <c r="T230" s="4154" t="s">
        <v>648</v>
      </c>
      <c r="U230" s="4155"/>
      <c r="V230" s="4156"/>
      <c r="W230" s="4157"/>
      <c r="X230" s="4158"/>
      <c r="Y230" s="4159"/>
      <c r="Z230" s="4160"/>
      <c r="AA230" s="4161"/>
      <c r="AB230" s="4162"/>
      <c r="AC230" s="4163"/>
      <c r="AD230" s="4164"/>
      <c r="AE230" s="4165"/>
      <c r="AF230" s="4166"/>
      <c r="AG230" s="4167"/>
      <c r="AH230" s="4168"/>
      <c r="AI230" s="4169"/>
      <c r="AJ230" s="12298"/>
      <c r="AK230" s="12299"/>
      <c r="AL230" s="12300"/>
      <c r="AM230" s="12301"/>
      <c r="AN230" s="12302"/>
      <c r="AO230" s="12303"/>
      <c r="AP230" s="12304"/>
      <c r="AQ230" s="12305"/>
      <c r="AR230" s="12306"/>
      <c r="AS230" s="12307"/>
      <c r="AT230" s="12308"/>
      <c r="AU230" s="12309"/>
      <c r="AV230" s="12310"/>
      <c r="AW230" s="12311"/>
      <c r="AX230" s="12312"/>
      <c r="AY230" s="12313"/>
      <c r="AZ230" s="12314"/>
      <c r="BA230" s="12315"/>
      <c r="BB230" s="12316"/>
      <c r="BC230" s="12317"/>
      <c r="BD230" s="12318"/>
      <c r="BE230" s="12319"/>
      <c r="BF230" s="12320"/>
      <c r="BG230" s="12321"/>
      <c r="BH230" s="12322"/>
      <c r="BI230" s="12323"/>
      <c r="BJ230" s="12324"/>
      <c r="BK230" s="12325"/>
      <c r="BL230" s="12326"/>
      <c r="BM230" s="12327"/>
      <c r="BN230" s="12328"/>
      <c r="BO230" s="12329"/>
      <c r="BP230" s="12330"/>
      <c r="BQ230" s="12331"/>
      <c r="BR230" s="12332"/>
      <c r="BS230" s="12333"/>
      <c r="BT230" s="12334"/>
      <c r="BU230" s="12335"/>
      <c r="BV230" s="12336"/>
      <c r="BW230" s="12337"/>
      <c r="BX230" s="12338"/>
      <c r="BY230" s="12339"/>
      <c r="BZ230" s="12340"/>
      <c r="CA230" s="12341"/>
      <c r="CB230" s="12342"/>
      <c r="CC230" s="12343"/>
      <c r="CD230" s="12344"/>
      <c r="CE230" s="12345"/>
      <c r="CF230" s="12346"/>
      <c r="CG230" s="12347"/>
      <c r="CH230" s="12348"/>
      <c r="CI230" s="12349"/>
      <c r="CJ230" s="12350"/>
      <c r="CK230" s="12351"/>
      <c r="CL230" s="12352"/>
      <c r="CM230" s="12750"/>
      <c r="CN230" s="4177"/>
      <c r="CO230" s="4178"/>
      <c r="CP230" s="1649"/>
      <c r="CQ230" s="1631"/>
      <c r="CR230" s="1631" t="str">
        <f>IF(T230="","",T230)</f>
        <v>Добавить наименование признака дифференциации</v>
      </c>
      <c r="CS230" s="1631"/>
      <c r="CT230" s="1631"/>
      <c r="CU230" s="1642">
        <v>0</v>
      </c>
    </row>
    <row s="629" customFormat="1" customHeight="1" ht="14.25">
      <c r="A231" s="1350"/>
      <c r="B231" s="1350"/>
      <c r="C231" s="1350"/>
      <c r="D231" s="1350"/>
      <c r="E231" s="2266"/>
      <c r="F231" s="2265" t="s">
        <v>182</v>
      </c>
      <c r="G231" s="1350"/>
      <c r="H231" s="1350"/>
      <c r="I231" s="1350"/>
      <c r="J231" s="1350"/>
      <c r="K231" s="1350"/>
      <c r="L231" s="1552"/>
      <c r="M231" s="1328"/>
      <c r="N231" s="1328"/>
      <c r="O231" s="1649"/>
      <c r="P231" s="1323"/>
      <c r="Q231" s="1351"/>
      <c r="R231" s="1323"/>
      <c r="S231" s="1329"/>
      <c r="T231" s="1332" t="s">
        <v>316</v>
      </c>
      <c r="U231" s="1331"/>
      <c r="V231" s="1331"/>
      <c r="W231" s="1331"/>
      <c r="X231" s="1331"/>
      <c r="Y231" s="1331"/>
      <c r="Z231" s="1331"/>
      <c r="AA231" s="1331"/>
      <c r="AB231" s="1331"/>
      <c r="AC231" s="1331"/>
      <c r="AD231" s="1331"/>
      <c r="AE231" s="1331"/>
      <c r="AF231" s="1331"/>
      <c r="AG231" s="1331"/>
      <c r="AH231" s="1331"/>
      <c r="AI231" s="1331"/>
      <c r="AJ231" s="1331"/>
      <c r="AK231" s="1331"/>
      <c r="AL231" s="1331"/>
      <c r="AM231" s="1331"/>
      <c r="AN231" s="1331"/>
      <c r="AO231" s="1331"/>
      <c r="AP231" s="1331"/>
      <c r="AQ231" s="1331"/>
      <c r="AR231" s="1331"/>
      <c r="AS231" s="1331"/>
      <c r="AT231" s="1331"/>
      <c r="AU231" s="1331"/>
      <c r="AV231" s="1331"/>
      <c r="AW231" s="1331"/>
      <c r="AX231" s="1331"/>
      <c r="AY231" s="1331"/>
      <c r="AZ231" s="1331"/>
      <c r="BA231" s="1331"/>
      <c r="BB231" s="1331"/>
      <c r="BC231" s="1331"/>
      <c r="BD231" s="1331"/>
      <c r="BE231" s="1331"/>
      <c r="BF231" s="1331"/>
      <c r="BG231" s="1331"/>
      <c r="BH231" s="1331"/>
      <c r="BI231" s="1331"/>
      <c r="BJ231" s="1331"/>
      <c r="BK231" s="1331"/>
      <c r="BL231" s="1331"/>
      <c r="BM231" s="1331"/>
      <c r="BN231" s="1331"/>
      <c r="BO231" s="1331"/>
      <c r="BP231" s="1331"/>
      <c r="BQ231" s="1331"/>
      <c r="BR231" s="1331"/>
      <c r="BS231" s="1331"/>
      <c r="BT231" s="1331"/>
      <c r="BU231" s="1331"/>
      <c r="BV231" s="1331"/>
      <c r="BW231" s="1331"/>
      <c r="BX231" s="1331"/>
      <c r="BY231" s="1331"/>
      <c r="BZ231" s="1331"/>
      <c r="CA231" s="1331"/>
      <c r="CB231" s="1331"/>
      <c r="CC231" s="1331"/>
      <c r="CD231" s="1331"/>
      <c r="CE231" s="1331"/>
      <c r="CF231" s="1331"/>
      <c r="CG231" s="1331"/>
      <c r="CH231" s="1331"/>
      <c r="CI231" s="1331"/>
      <c r="CJ231" s="1331"/>
      <c r="CK231" s="1331"/>
      <c r="CL231" s="1331"/>
      <c r="CM231" s="1331"/>
      <c r="CN231" s="1331"/>
      <c r="CO231" s="1331"/>
      <c r="CP231" s="1649"/>
      <c r="CQ231" s="1631"/>
      <c r="CR231" s="1631" t="str">
        <f>IF(T231="","",T231)</f>
        <v>Добавить централизованную систему для дифференциации</v>
      </c>
      <c r="CS231" s="1631"/>
      <c r="CT231" s="1631"/>
      <c r="CU231" s="1649">
        <v>0</v>
      </c>
    </row>
    <row s="1857" customFormat="1" customHeight="1" ht="23.25">
      <c r="A232" s="1370"/>
      <c r="B232" s="1370" t="s">
        <v>383</v>
      </c>
      <c r="C232" s="1370"/>
      <c r="D232" s="1370"/>
      <c r="E232" s="2266"/>
      <c r="F232" s="2265" t="s">
        <v>190</v>
      </c>
      <c r="G232" s="1370"/>
      <c r="H232" s="1370"/>
      <c r="I232" s="1370"/>
      <c r="J232" s="1370"/>
      <c r="K232" s="1370"/>
      <c r="L232" s="1376"/>
      <c r="M232" s="1372"/>
      <c r="N232" s="1372"/>
      <c r="O232" s="1372"/>
      <c r="P232" s="2132"/>
      <c r="Q232" s="359"/>
      <c r="R232" s="360"/>
      <c r="S232" s="2280" t="str">
        <f>INDEX(PT_DIFFERENTIATION_NUM_TER,MATCH(B232,PT_DIFFERENTIATION_TER_ID,0))</f>
        <v>1.20</v>
      </c>
      <c r="T232" s="1529" t="s">
        <v>560</v>
      </c>
      <c r="U232" s="307"/>
      <c r="V232" s="2249"/>
      <c r="W232" s="2250"/>
      <c r="X232" s="2250"/>
      <c r="Y232" s="2250"/>
      <c r="Z232" s="2250"/>
      <c r="AA232" s="2250"/>
      <c r="AB232" s="2251"/>
      <c r="AC232" s="2249" t="str">
        <f>INDEX(PT_DIFFERENTIATION_TER,MATCH(B232,PT_DIFFERENTIATION_TER_ID,0))</f>
        <v>Территория 20</v>
      </c>
      <c r="AD232" s="2250"/>
      <c r="AE232" s="2250"/>
      <c r="AF232" s="2250"/>
      <c r="AG232" s="2250"/>
      <c r="AH232" s="2250"/>
      <c r="AI232" s="2250"/>
      <c r="AJ232" s="2249"/>
      <c r="AK232" s="2250"/>
      <c r="AL232" s="2250"/>
      <c r="AM232" s="2250"/>
      <c r="AN232" s="2250"/>
      <c r="AO232" s="2250"/>
      <c r="AP232" s="2251"/>
      <c r="AQ232" s="2249"/>
      <c r="AR232" s="2250"/>
      <c r="AS232" s="2250"/>
      <c r="AT232" s="2250"/>
      <c r="AU232" s="2250"/>
      <c r="AV232" s="2250"/>
      <c r="AW232" s="2251"/>
      <c r="AX232" s="2249"/>
      <c r="AY232" s="2250"/>
      <c r="AZ232" s="2250"/>
      <c r="BA232" s="2250"/>
      <c r="BB232" s="2250"/>
      <c r="BC232" s="2250"/>
      <c r="BD232" s="2251"/>
      <c r="BE232" s="2249"/>
      <c r="BF232" s="2250"/>
      <c r="BG232" s="2250"/>
      <c r="BH232" s="2250"/>
      <c r="BI232" s="2250"/>
      <c r="BJ232" s="2250"/>
      <c r="BK232" s="2251"/>
      <c r="BL232" s="2249"/>
      <c r="BM232" s="2250"/>
      <c r="BN232" s="2250"/>
      <c r="BO232" s="2250"/>
      <c r="BP232" s="2250"/>
      <c r="BQ232" s="2250"/>
      <c r="BR232" s="2251"/>
      <c r="BS232" s="2249"/>
      <c r="BT232" s="2250"/>
      <c r="BU232" s="2250"/>
      <c r="BV232" s="2250"/>
      <c r="BW232" s="2250"/>
      <c r="BX232" s="2250"/>
      <c r="BY232" s="2251"/>
      <c r="BZ232" s="2249"/>
      <c r="CA232" s="2250"/>
      <c r="CB232" s="2250"/>
      <c r="CC232" s="2250"/>
      <c r="CD232" s="2250"/>
      <c r="CE232" s="2250"/>
      <c r="CF232" s="2251"/>
      <c r="CG232" s="2249"/>
      <c r="CH232" s="2250"/>
      <c r="CI232" s="2250"/>
      <c r="CJ232" s="2250"/>
      <c r="CK232" s="2250"/>
      <c r="CL232" s="2250"/>
      <c r="CM232" s="4492"/>
      <c r="CN232" s="2251"/>
      <c r="CO232" s="1265" t="s">
        <v>561</v>
      </c>
      <c r="CP232" s="1649"/>
      <c r="CQ232" s="1631"/>
      <c r="CR232" s="1631" t="str">
        <f>IF(T232="","",T232)</f>
        <v>Территория действия тарифа</v>
      </c>
      <c r="CS232" s="1631"/>
      <c r="CT232" s="1631"/>
      <c r="CU232" s="1642">
        <v>0</v>
      </c>
    </row>
    <row s="1857" customFormat="1" customHeight="1" ht="23.25">
      <c r="A233" s="1370"/>
      <c r="B233" s="1370"/>
      <c r="C233" s="1370" t="s">
        <v>384</v>
      </c>
      <c r="D233" s="1370"/>
      <c r="E233" s="2266"/>
      <c r="F233" s="2266" t="s">
        <v>184</v>
      </c>
      <c r="G233" s="2265">
        <v>1</v>
      </c>
      <c r="H233" s="1370"/>
      <c r="I233" s="1370"/>
      <c r="J233" s="1370"/>
      <c r="K233" s="1370"/>
      <c r="L233" s="1376"/>
      <c r="M233" s="1372"/>
      <c r="N233" s="1372"/>
      <c r="O233" s="1372"/>
      <c r="P233" s="361"/>
      <c r="Q233" s="359"/>
      <c r="R233" s="360"/>
      <c r="S233" s="2280" t="str">
        <f>INDEX(PT_DIFFERENTIATION_NUM_CS,MATCH(C233,PT_DIFFERENTIATION_CS_ID,0))</f>
        <v>1.20.1</v>
      </c>
      <c r="T233" s="316" t="s">
        <v>641</v>
      </c>
      <c r="U233" s="307"/>
      <c r="V233" s="2249"/>
      <c r="W233" s="2250"/>
      <c r="X233" s="2250"/>
      <c r="Y233" s="2250"/>
      <c r="Z233" s="2250"/>
      <c r="AA233" s="2250"/>
      <c r="AB233" s="2251"/>
      <c r="AC233" s="2249" t="str">
        <f>INDEX(PT_DIFFERENTIATION_CS,MATCH(C233,PT_DIFFERENTIATION_CS_ID,0))</f>
        <v>Чернянский район (с/п)</v>
      </c>
      <c r="AD233" s="2250"/>
      <c r="AE233" s="2250"/>
      <c r="AF233" s="2250"/>
      <c r="AG233" s="2250"/>
      <c r="AH233" s="2250"/>
      <c r="AI233" s="2250"/>
      <c r="AJ233" s="2249"/>
      <c r="AK233" s="2250"/>
      <c r="AL233" s="2250"/>
      <c r="AM233" s="2250"/>
      <c r="AN233" s="2250"/>
      <c r="AO233" s="2250"/>
      <c r="AP233" s="2251"/>
      <c r="AQ233" s="2249"/>
      <c r="AR233" s="2250"/>
      <c r="AS233" s="2250"/>
      <c r="AT233" s="2250"/>
      <c r="AU233" s="2250"/>
      <c r="AV233" s="2250"/>
      <c r="AW233" s="2251"/>
      <c r="AX233" s="2249"/>
      <c r="AY233" s="2250"/>
      <c r="AZ233" s="2250"/>
      <c r="BA233" s="2250"/>
      <c r="BB233" s="2250"/>
      <c r="BC233" s="2250"/>
      <c r="BD233" s="2251"/>
      <c r="BE233" s="2249"/>
      <c r="BF233" s="2250"/>
      <c r="BG233" s="2250"/>
      <c r="BH233" s="2250"/>
      <c r="BI233" s="2250"/>
      <c r="BJ233" s="2250"/>
      <c r="BK233" s="2251"/>
      <c r="BL233" s="2249"/>
      <c r="BM233" s="2250"/>
      <c r="BN233" s="2250"/>
      <c r="BO233" s="2250"/>
      <c r="BP233" s="2250"/>
      <c r="BQ233" s="2250"/>
      <c r="BR233" s="2251"/>
      <c r="BS233" s="2249"/>
      <c r="BT233" s="2250"/>
      <c r="BU233" s="2250"/>
      <c r="BV233" s="2250"/>
      <c r="BW233" s="2250"/>
      <c r="BX233" s="2250"/>
      <c r="BY233" s="2251"/>
      <c r="BZ233" s="2249"/>
      <c r="CA233" s="2250"/>
      <c r="CB233" s="2250"/>
      <c r="CC233" s="2250"/>
      <c r="CD233" s="2250"/>
      <c r="CE233" s="2250"/>
      <c r="CF233" s="2251"/>
      <c r="CG233" s="2249"/>
      <c r="CH233" s="2250"/>
      <c r="CI233" s="2250"/>
      <c r="CJ233" s="2250"/>
      <c r="CK233" s="2250"/>
      <c r="CL233" s="2250"/>
      <c r="CM233" s="4492"/>
      <c r="CN233" s="2251"/>
      <c r="CO233" s="1265" t="s">
        <v>642</v>
      </c>
      <c r="CP233" s="1649"/>
      <c r="CQ233" s="1631"/>
      <c r="CR233" s="1631" t="str">
        <f>IF(T233="","",T233)</f>
        <v>Наименование централизованной системы холодного водоснабжения</v>
      </c>
      <c r="CS233" s="1631"/>
      <c r="CT233" s="1631"/>
      <c r="CU233" s="1642">
        <v>0</v>
      </c>
    </row>
    <row s="1857" customFormat="1" customHeight="1" ht="23.25">
      <c r="A234" s="1370"/>
      <c r="B234" s="1370"/>
      <c r="C234" s="1370"/>
      <c r="D234" s="1370"/>
      <c r="E234" s="2266"/>
      <c r="F234" s="2266" t="s">
        <v>184</v>
      </c>
      <c r="G234" s="2266"/>
      <c r="H234" s="2266"/>
      <c r="I234" s="2263" t="str">
        <f>S233&amp;".1"</f>
        <v>1.20.1.1</v>
      </c>
      <c r="J234" s="1370"/>
      <c r="K234" s="1370"/>
      <c r="L234" s="1376"/>
      <c r="M234" s="1783"/>
      <c r="N234" s="1783"/>
      <c r="O234" s="1783"/>
      <c r="P234" s="2381">
        <v>1</v>
      </c>
      <c r="Q234" s="2381"/>
      <c r="R234" s="363"/>
      <c r="S234" s="2280" t="str">
        <f>$I234</f>
        <v>1.20.1.1</v>
      </c>
      <c r="T234" s="292" t="s">
        <v>643</v>
      </c>
      <c r="U234" s="307"/>
      <c r="V234" s="2357"/>
      <c r="W234" s="2358"/>
      <c r="X234" s="2358"/>
      <c r="Y234" s="2358"/>
      <c r="Z234" s="2358"/>
      <c r="AA234" s="2358"/>
      <c r="AB234" s="2359"/>
      <c r="AC234" s="2360" t="s">
        <v>382</v>
      </c>
      <c r="AD234" s="2361"/>
      <c r="AE234" s="2361"/>
      <c r="AF234" s="2361"/>
      <c r="AG234" s="2361"/>
      <c r="AH234" s="2361"/>
      <c r="AI234" s="2361"/>
      <c r="AJ234" s="2357"/>
      <c r="AK234" s="2358"/>
      <c r="AL234" s="2358"/>
      <c r="AM234" s="2358"/>
      <c r="AN234" s="2358"/>
      <c r="AO234" s="2358"/>
      <c r="AP234" s="2359"/>
      <c r="AQ234" s="2357"/>
      <c r="AR234" s="2358"/>
      <c r="AS234" s="2358"/>
      <c r="AT234" s="2358"/>
      <c r="AU234" s="2358"/>
      <c r="AV234" s="2358"/>
      <c r="AW234" s="2359"/>
      <c r="AX234" s="2357"/>
      <c r="AY234" s="2358"/>
      <c r="AZ234" s="2358"/>
      <c r="BA234" s="2358"/>
      <c r="BB234" s="2358"/>
      <c r="BC234" s="2358"/>
      <c r="BD234" s="2359"/>
      <c r="BE234" s="2357"/>
      <c r="BF234" s="2358"/>
      <c r="BG234" s="2358"/>
      <c r="BH234" s="2358"/>
      <c r="BI234" s="2358"/>
      <c r="BJ234" s="2358"/>
      <c r="BK234" s="2359"/>
      <c r="BL234" s="2357"/>
      <c r="BM234" s="2358"/>
      <c r="BN234" s="2358"/>
      <c r="BO234" s="2358"/>
      <c r="BP234" s="2358"/>
      <c r="BQ234" s="2358"/>
      <c r="BR234" s="2359"/>
      <c r="BS234" s="2357"/>
      <c r="BT234" s="2358"/>
      <c r="BU234" s="2358"/>
      <c r="BV234" s="2358"/>
      <c r="BW234" s="2358"/>
      <c r="BX234" s="2358"/>
      <c r="BY234" s="2359"/>
      <c r="BZ234" s="2357"/>
      <c r="CA234" s="2358"/>
      <c r="CB234" s="2358"/>
      <c r="CC234" s="2358"/>
      <c r="CD234" s="2358"/>
      <c r="CE234" s="2358"/>
      <c r="CF234" s="2359"/>
      <c r="CG234" s="2357"/>
      <c r="CH234" s="2358"/>
      <c r="CI234" s="2358"/>
      <c r="CJ234" s="2358"/>
      <c r="CK234" s="2358"/>
      <c r="CL234" s="2358"/>
      <c r="CM234" s="4495"/>
      <c r="CN234" s="2362"/>
      <c r="CO234" s="1265" t="s">
        <v>644</v>
      </c>
      <c r="CP234" s="1649"/>
      <c r="CQ234" s="1631"/>
      <c r="CR234" s="1631" t="str">
        <f>IF(T234="","",T234)</f>
        <v>Наименование признака дифференциации</v>
      </c>
      <c r="CS234" s="1631"/>
      <c r="CT234" s="1631"/>
      <c r="CU234" s="1642">
        <v>0</v>
      </c>
    </row>
    <row s="1857" customFormat="1" customHeight="1" ht="23.25">
      <c r="A235" s="1370"/>
      <c r="B235" s="1370"/>
      <c r="C235" s="1370"/>
      <c r="D235" s="1370"/>
      <c r="E235" s="2266"/>
      <c r="F235" s="2266" t="s">
        <v>184</v>
      </c>
      <c r="G235" s="2266"/>
      <c r="H235" s="2266"/>
      <c r="I235" s="2293"/>
      <c r="J235" s="2263" t="str">
        <f>I234&amp;".1"</f>
        <v>1.20.1.1.1</v>
      </c>
      <c r="K235" s="1370"/>
      <c r="L235" s="1376" t="s">
        <v>569</v>
      </c>
      <c r="M235" s="1783"/>
      <c r="N235" s="1783"/>
      <c r="O235" s="1783"/>
      <c r="P235" s="2381"/>
      <c r="Q235" s="2381">
        <v>1</v>
      </c>
      <c r="R235" s="364"/>
      <c r="S235" s="2280" t="str">
        <f>$J235</f>
        <v>1.20.1.1.1</v>
      </c>
      <c r="T235" s="293" t="s">
        <v>570</v>
      </c>
      <c r="U235" s="307"/>
      <c r="V235" s="2252"/>
      <c r="W235" s="2253"/>
      <c r="X235" s="2253"/>
      <c r="Y235" s="2253"/>
      <c r="Z235" s="2253"/>
      <c r="AA235" s="2253"/>
      <c r="AB235" s="2254"/>
      <c r="AC235" s="2252" t="s">
        <v>656</v>
      </c>
      <c r="AD235" s="2253"/>
      <c r="AE235" s="2253"/>
      <c r="AF235" s="2253"/>
      <c r="AG235" s="2253"/>
      <c r="AH235" s="2253"/>
      <c r="AI235" s="2253"/>
      <c r="AJ235" s="2252"/>
      <c r="AK235" s="2253"/>
      <c r="AL235" s="2253"/>
      <c r="AM235" s="2253"/>
      <c r="AN235" s="2253"/>
      <c r="AO235" s="2253"/>
      <c r="AP235" s="2254"/>
      <c r="AQ235" s="2252"/>
      <c r="AR235" s="2253"/>
      <c r="AS235" s="2253"/>
      <c r="AT235" s="2253"/>
      <c r="AU235" s="2253"/>
      <c r="AV235" s="2253"/>
      <c r="AW235" s="2254"/>
      <c r="AX235" s="2252"/>
      <c r="AY235" s="2253"/>
      <c r="AZ235" s="2253"/>
      <c r="BA235" s="2253"/>
      <c r="BB235" s="2253"/>
      <c r="BC235" s="2253"/>
      <c r="BD235" s="2254"/>
      <c r="BE235" s="2252"/>
      <c r="BF235" s="2253"/>
      <c r="BG235" s="2253"/>
      <c r="BH235" s="2253"/>
      <c r="BI235" s="2253"/>
      <c r="BJ235" s="2253"/>
      <c r="BK235" s="2254"/>
      <c r="BL235" s="2252"/>
      <c r="BM235" s="2253"/>
      <c r="BN235" s="2253"/>
      <c r="BO235" s="2253"/>
      <c r="BP235" s="2253"/>
      <c r="BQ235" s="2253"/>
      <c r="BR235" s="2254"/>
      <c r="BS235" s="2252"/>
      <c r="BT235" s="2253"/>
      <c r="BU235" s="2253"/>
      <c r="BV235" s="2253"/>
      <c r="BW235" s="2253"/>
      <c r="BX235" s="2253"/>
      <c r="BY235" s="2254"/>
      <c r="BZ235" s="2252"/>
      <c r="CA235" s="2253"/>
      <c r="CB235" s="2253"/>
      <c r="CC235" s="2253"/>
      <c r="CD235" s="2253"/>
      <c r="CE235" s="2253"/>
      <c r="CF235" s="2254"/>
      <c r="CG235" s="2252"/>
      <c r="CH235" s="2253"/>
      <c r="CI235" s="2253"/>
      <c r="CJ235" s="2253"/>
      <c r="CK235" s="2253"/>
      <c r="CL235" s="2253"/>
      <c r="CM235" s="4498"/>
      <c r="CN235" s="2254"/>
      <c r="CO235" s="1314" t="s">
        <v>645</v>
      </c>
      <c r="CP235" s="1649"/>
      <c r="CQ235" s="1631"/>
      <c r="CR235" s="1631" t="str">
        <f>IF(T235="","",T235)</f>
        <v>Группа потребителей</v>
      </c>
      <c r="CS235" s="1631"/>
      <c r="CT235" s="1631"/>
      <c r="CU235" s="1642">
        <v>0</v>
      </c>
    </row>
    <row s="1857" customFormat="1" customHeight="1" ht="23.25">
      <c r="A236" s="1370"/>
      <c r="B236" s="1370"/>
      <c r="C236" s="1370"/>
      <c r="D236" s="1370"/>
      <c r="E236" s="2266"/>
      <c r="F236" s="2266" t="s">
        <v>184</v>
      </c>
      <c r="G236" s="2266"/>
      <c r="H236" s="2266"/>
      <c r="I236" s="2293"/>
      <c r="J236" s="2293"/>
      <c r="K236" s="2263" t="str">
        <f>J235&amp;".1"</f>
        <v>1.20.1.1.1.1</v>
      </c>
      <c r="L236" s="1376"/>
      <c r="M236" s="1783"/>
      <c r="N236" s="1783"/>
      <c r="O236" s="1783"/>
      <c r="P236" s="2381"/>
      <c r="Q236" s="2381"/>
      <c r="R236" s="364">
        <v>1</v>
      </c>
      <c r="S236" s="2280" t="str">
        <f>$K236</f>
        <v>1.20.1.1.1.1</v>
      </c>
      <c r="T236" s="1444" t="s">
        <v>657</v>
      </c>
      <c r="U236" s="307"/>
      <c r="V236" s="758"/>
      <c r="W236" s="758"/>
      <c r="X236" s="1264"/>
      <c r="Y236" s="2609"/>
      <c r="Z236" s="2114" t="s">
        <v>66</v>
      </c>
      <c r="AA236" s="2609"/>
      <c r="AB236" s="2114" t="s">
        <v>66</v>
      </c>
      <c r="AC236" s="758">
        <v>41.05</v>
      </c>
      <c r="AD236" s="758"/>
      <c r="AE236" s="1264"/>
      <c r="AF236" s="2609">
        <v>44896</v>
      </c>
      <c r="AG236" s="2114" t="s">
        <v>66</v>
      </c>
      <c r="AH236" s="2294">
        <v>45291</v>
      </c>
      <c r="AI236" s="2114" t="s">
        <v>66</v>
      </c>
      <c r="AJ236" s="758">
        <v>41.05</v>
      </c>
      <c r="AK236" s="758"/>
      <c r="AL236" s="1264"/>
      <c r="AM236" s="2609">
        <v>45292</v>
      </c>
      <c r="AN236" s="2114" t="s">
        <v>66</v>
      </c>
      <c r="AO236" s="2609">
        <v>45473</v>
      </c>
      <c r="AP236" s="2114" t="s">
        <v>66</v>
      </c>
      <c r="AQ236" s="758">
        <v>46.8</v>
      </c>
      <c r="AR236" s="758"/>
      <c r="AS236" s="1264"/>
      <c r="AT236" s="2609">
        <v>45474</v>
      </c>
      <c r="AU236" s="2114" t="s">
        <v>66</v>
      </c>
      <c r="AV236" s="2609">
        <v>45657</v>
      </c>
      <c r="AW236" s="2114" t="s">
        <v>66</v>
      </c>
      <c r="AX236" s="758">
        <v>46.8</v>
      </c>
      <c r="AY236" s="758"/>
      <c r="AZ236" s="1264"/>
      <c r="BA236" s="2609">
        <v>45658</v>
      </c>
      <c r="BB236" s="2114" t="s">
        <v>66</v>
      </c>
      <c r="BC236" s="2609">
        <v>45838</v>
      </c>
      <c r="BD236" s="2114" t="s">
        <v>66</v>
      </c>
      <c r="BE236" s="758">
        <v>164.83</v>
      </c>
      <c r="BF236" s="758"/>
      <c r="BG236" s="1264"/>
      <c r="BH236" s="2609">
        <v>45839</v>
      </c>
      <c r="BI236" s="2114" t="s">
        <v>66</v>
      </c>
      <c r="BJ236" s="2609">
        <v>46022</v>
      </c>
      <c r="BK236" s="2114" t="s">
        <v>66</v>
      </c>
      <c r="BL236" s="758">
        <v>44.38</v>
      </c>
      <c r="BM236" s="758"/>
      <c r="BN236" s="1264"/>
      <c r="BO236" s="2609">
        <v>46023</v>
      </c>
      <c r="BP236" s="2114" t="s">
        <v>66</v>
      </c>
      <c r="BQ236" s="2609">
        <v>46203</v>
      </c>
      <c r="BR236" s="2114" t="s">
        <v>66</v>
      </c>
      <c r="BS236" s="758">
        <v>46.25</v>
      </c>
      <c r="BT236" s="758"/>
      <c r="BU236" s="1264"/>
      <c r="BV236" s="2609">
        <v>46204</v>
      </c>
      <c r="BW236" s="2114" t="s">
        <v>66</v>
      </c>
      <c r="BX236" s="2609">
        <v>46387</v>
      </c>
      <c r="BY236" s="2114" t="s">
        <v>66</v>
      </c>
      <c r="BZ236" s="758">
        <v>46.25</v>
      </c>
      <c r="CA236" s="758"/>
      <c r="CB236" s="1264"/>
      <c r="CC236" s="2609">
        <v>46388</v>
      </c>
      <c r="CD236" s="2114" t="s">
        <v>66</v>
      </c>
      <c r="CE236" s="2609">
        <v>46568</v>
      </c>
      <c r="CF236" s="2114" t="s">
        <v>66</v>
      </c>
      <c r="CG236" s="758">
        <v>47.8</v>
      </c>
      <c r="CH236" s="758"/>
      <c r="CI236" s="1264"/>
      <c r="CJ236" s="2609">
        <v>46569</v>
      </c>
      <c r="CK236" s="2114" t="s">
        <v>66</v>
      </c>
      <c r="CL236" s="2609">
        <v>46752</v>
      </c>
      <c r="CM236" s="2114" t="s">
        <v>66</v>
      </c>
      <c r="CN236" s="1445"/>
      <c r="CO23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236" s="1649">
        <f>STRCHECKDATE(V237:CN237)</f>
      </c>
      <c r="CQ236" s="1631"/>
      <c r="CR236" s="1631" t="str">
        <f>IF(T236="","",T236)</f>
        <v>Тариф по водоснабжению без НДС</v>
      </c>
      <c r="CS236" s="1631"/>
      <c r="CT236" s="1631"/>
      <c r="CU236" s="1642">
        <v>0</v>
      </c>
    </row>
    <row s="1857" customFormat="1" customHeight="1" ht="14.25">
      <c r="A237" s="1370"/>
      <c r="B237" s="1370"/>
      <c r="C237" s="1370"/>
      <c r="D237" s="1370"/>
      <c r="E237" s="2266"/>
      <c r="F237" s="2266" t="s">
        <v>184</v>
      </c>
      <c r="G237" s="2266"/>
      <c r="H237" s="2266"/>
      <c r="I237" s="2293"/>
      <c r="J237" s="2293"/>
      <c r="K237" s="2263"/>
      <c r="L237" s="1376"/>
      <c r="M237" s="1783"/>
      <c r="N237" s="1783"/>
      <c r="O237" s="1783"/>
      <c r="P237" s="2381"/>
      <c r="Q237" s="2381"/>
      <c r="R237" s="364"/>
      <c r="S237" s="2520"/>
      <c r="T237" s="307"/>
      <c r="U237" s="307"/>
      <c r="V237" s="332"/>
      <c r="W237" s="332"/>
      <c r="X237" s="335" t="str">
        <f>Y236&amp;"-"&amp;AA236</f>
        <v>-</v>
      </c>
      <c r="Y237" s="2316"/>
      <c r="Z237" s="2114"/>
      <c r="AA237" s="2316"/>
      <c r="AB237" s="2114"/>
      <c r="AC237" s="332"/>
      <c r="AD237" s="332"/>
      <c r="AE237" s="335" t="str">
        <f>AF236&amp;"-"&amp;AH236</f>
        <v>44896-45291</v>
      </c>
      <c r="AF237" s="2316"/>
      <c r="AG237" s="2114"/>
      <c r="AH237" s="2295"/>
      <c r="AI237" s="2114"/>
      <c r="AJ237" s="332"/>
      <c r="AK237" s="332"/>
      <c r="AL237" s="335" t="str">
        <f>AM236&amp;"-"&amp;AO236</f>
        <v>45292-45473</v>
      </c>
      <c r="AM237" s="2316"/>
      <c r="AN237" s="2114"/>
      <c r="AO237" s="2316"/>
      <c r="AP237" s="2114"/>
      <c r="AQ237" s="332"/>
      <c r="AR237" s="332"/>
      <c r="AS237" s="335" t="str">
        <f>AT236&amp;"-"&amp;AV236</f>
        <v>45474-45657</v>
      </c>
      <c r="AT237" s="2316"/>
      <c r="AU237" s="2114"/>
      <c r="AV237" s="2316"/>
      <c r="AW237" s="2114"/>
      <c r="AX237" s="332"/>
      <c r="AY237" s="332"/>
      <c r="AZ237" s="335" t="str">
        <f>BA236&amp;"-"&amp;BC236</f>
        <v>45658-45838</v>
      </c>
      <c r="BA237" s="2316"/>
      <c r="BB237" s="2114"/>
      <c r="BC237" s="2316"/>
      <c r="BD237" s="2114"/>
      <c r="BE237" s="332"/>
      <c r="BF237" s="332"/>
      <c r="BG237" s="335" t="str">
        <f>BH236&amp;"-"&amp;BJ236</f>
        <v>45839-46022</v>
      </c>
      <c r="BH237" s="2316"/>
      <c r="BI237" s="2114"/>
      <c r="BJ237" s="2316"/>
      <c r="BK237" s="2114"/>
      <c r="BL237" s="332"/>
      <c r="BM237" s="332"/>
      <c r="BN237" s="335" t="str">
        <f>BO236&amp;"-"&amp;BQ236</f>
        <v>46023-46203</v>
      </c>
      <c r="BO237" s="2316"/>
      <c r="BP237" s="2114"/>
      <c r="BQ237" s="2316"/>
      <c r="BR237" s="2114"/>
      <c r="BS237" s="332"/>
      <c r="BT237" s="332"/>
      <c r="BU237" s="335" t="str">
        <f>BV236&amp;"-"&amp;BX236</f>
        <v>46204-46387</v>
      </c>
      <c r="BV237" s="2316"/>
      <c r="BW237" s="2114"/>
      <c r="BX237" s="2316"/>
      <c r="BY237" s="2114"/>
      <c r="BZ237" s="332"/>
      <c r="CA237" s="332"/>
      <c r="CB237" s="335" t="str">
        <f>CC236&amp;"-"&amp;CE236</f>
        <v>46388-46568</v>
      </c>
      <c r="CC237" s="2316"/>
      <c r="CD237" s="2114"/>
      <c r="CE237" s="2316"/>
      <c r="CF237" s="2114"/>
      <c r="CG237" s="332"/>
      <c r="CH237" s="332"/>
      <c r="CI237" s="335" t="str">
        <f>CJ236&amp;"-"&amp;CL236</f>
        <v>46569-46752</v>
      </c>
      <c r="CJ237" s="2316"/>
      <c r="CK237" s="2114"/>
      <c r="CL237" s="2316"/>
      <c r="CM237" s="2114"/>
      <c r="CN237" s="1446"/>
      <c r="CO237" s="2356"/>
      <c r="CP237" s="1649"/>
      <c r="CQ237" s="1631"/>
      <c r="CR237" s="1631" t="str">
        <f>IF(T237="","",T237)</f>
        <v/>
      </c>
      <c r="CS237" s="1631"/>
      <c r="CT237" s="1631"/>
      <c r="CU237" s="1642">
        <v>0</v>
      </c>
    </row>
    <row s="1857" customFormat="1" customHeight="1" ht="21">
      <c r="A238" s="1370"/>
      <c r="B238" s="1370"/>
      <c r="C238" s="1370"/>
      <c r="D238" s="1370"/>
      <c r="E238" s="2266"/>
      <c r="F238" s="2266" t="s">
        <v>184</v>
      </c>
      <c r="G238" s="2266"/>
      <c r="H238" s="2266"/>
      <c r="I238" s="2293"/>
      <c r="J238" s="2263"/>
      <c r="K238" s="1370"/>
      <c r="L238" s="1376"/>
      <c r="M238" s="1783"/>
      <c r="N238" s="1783"/>
      <c r="O238" s="1783"/>
      <c r="P238" s="2381"/>
      <c r="Q238" s="2381"/>
      <c r="R238" s="363"/>
      <c r="S238" s="4179"/>
      <c r="T238" s="4180" t="s">
        <v>646</v>
      </c>
      <c r="U238" s="4181"/>
      <c r="V238" s="4182"/>
      <c r="W238" s="4183"/>
      <c r="X238" s="4184"/>
      <c r="Y238" s="4185"/>
      <c r="Z238" s="4186"/>
      <c r="AA238" s="4187"/>
      <c r="AB238" s="4188"/>
      <c r="AC238" s="4189"/>
      <c r="AD238" s="4190"/>
      <c r="AE238" s="4191"/>
      <c r="AF238" s="4192"/>
      <c r="AG238" s="4193"/>
      <c r="AH238" s="4194"/>
      <c r="AI238" s="4195"/>
      <c r="AJ238" s="12354"/>
      <c r="AK238" s="12355"/>
      <c r="AL238" s="12356"/>
      <c r="AM238" s="12357"/>
      <c r="AN238" s="12358"/>
      <c r="AO238" s="12359"/>
      <c r="AP238" s="12360"/>
      <c r="AQ238" s="12361"/>
      <c r="AR238" s="12362"/>
      <c r="AS238" s="12363"/>
      <c r="AT238" s="12364"/>
      <c r="AU238" s="12365"/>
      <c r="AV238" s="12366"/>
      <c r="AW238" s="12367"/>
      <c r="AX238" s="12368"/>
      <c r="AY238" s="12369"/>
      <c r="AZ238" s="12370"/>
      <c r="BA238" s="12371"/>
      <c r="BB238" s="12372"/>
      <c r="BC238" s="12373"/>
      <c r="BD238" s="12374"/>
      <c r="BE238" s="12375"/>
      <c r="BF238" s="12376"/>
      <c r="BG238" s="12377"/>
      <c r="BH238" s="12378"/>
      <c r="BI238" s="12379"/>
      <c r="BJ238" s="12380"/>
      <c r="BK238" s="12381"/>
      <c r="BL238" s="12382"/>
      <c r="BM238" s="12383"/>
      <c r="BN238" s="12384"/>
      <c r="BO238" s="12385"/>
      <c r="BP238" s="12386"/>
      <c r="BQ238" s="12387"/>
      <c r="BR238" s="12388"/>
      <c r="BS238" s="12389"/>
      <c r="BT238" s="12390"/>
      <c r="BU238" s="12391"/>
      <c r="BV238" s="12392"/>
      <c r="BW238" s="12393"/>
      <c r="BX238" s="12394"/>
      <c r="BY238" s="12395"/>
      <c r="BZ238" s="12396"/>
      <c r="CA238" s="12397"/>
      <c r="CB238" s="12398"/>
      <c r="CC238" s="12399"/>
      <c r="CD238" s="12400"/>
      <c r="CE238" s="12401"/>
      <c r="CF238" s="12402"/>
      <c r="CG238" s="12403"/>
      <c r="CH238" s="12404"/>
      <c r="CI238" s="12405"/>
      <c r="CJ238" s="12406"/>
      <c r="CK238" s="12407"/>
      <c r="CL238" s="12408"/>
      <c r="CM238" s="12751"/>
      <c r="CN238" s="4203"/>
      <c r="CO238" s="1265" t="s">
        <v>647</v>
      </c>
      <c r="CP238" s="1649"/>
      <c r="CQ238" s="1631"/>
      <c r="CR238" s="1631" t="str">
        <f>IF(T238="","",T238)</f>
        <v>Добавить значение признака дифференциации</v>
      </c>
      <c r="CS238" s="1631"/>
      <c r="CT238" s="1631"/>
      <c r="CU238" s="1642">
        <v>0</v>
      </c>
    </row>
    <row s="1857" customFormat="1" customHeight="1" ht="21">
      <c r="A239" s="1370"/>
      <c r="B239" s="1370"/>
      <c r="C239" s="1370"/>
      <c r="D239" s="1370"/>
      <c r="E239" s="2266"/>
      <c r="F239" s="2266" t="s">
        <v>184</v>
      </c>
      <c r="G239" s="2266"/>
      <c r="H239" s="2266"/>
      <c r="I239" s="2263"/>
      <c r="J239" s="1370"/>
      <c r="K239" s="1370"/>
      <c r="L239" s="1376"/>
      <c r="M239" s="1783"/>
      <c r="N239" s="1783"/>
      <c r="O239" s="1783"/>
      <c r="P239" s="2381"/>
      <c r="Q239" s="2381"/>
      <c r="R239" s="363"/>
      <c r="S239" s="4204"/>
      <c r="T239" s="4205" t="s">
        <v>575</v>
      </c>
      <c r="U239" s="4206"/>
      <c r="V239" s="4207"/>
      <c r="W239" s="4208"/>
      <c r="X239" s="4209"/>
      <c r="Y239" s="4210"/>
      <c r="Z239" s="4211"/>
      <c r="AA239" s="4212"/>
      <c r="AB239" s="4213"/>
      <c r="AC239" s="4214"/>
      <c r="AD239" s="4215"/>
      <c r="AE239" s="4216"/>
      <c r="AF239" s="4217"/>
      <c r="AG239" s="4218"/>
      <c r="AH239" s="4219"/>
      <c r="AI239" s="4220"/>
      <c r="AJ239" s="12410"/>
      <c r="AK239" s="12411"/>
      <c r="AL239" s="12412"/>
      <c r="AM239" s="12413"/>
      <c r="AN239" s="12414"/>
      <c r="AO239" s="12415"/>
      <c r="AP239" s="12416"/>
      <c r="AQ239" s="12417"/>
      <c r="AR239" s="12418"/>
      <c r="AS239" s="12419"/>
      <c r="AT239" s="12420"/>
      <c r="AU239" s="12421"/>
      <c r="AV239" s="12422"/>
      <c r="AW239" s="12423"/>
      <c r="AX239" s="12424"/>
      <c r="AY239" s="12425"/>
      <c r="AZ239" s="12426"/>
      <c r="BA239" s="12427"/>
      <c r="BB239" s="12428"/>
      <c r="BC239" s="12429"/>
      <c r="BD239" s="12430"/>
      <c r="BE239" s="12431"/>
      <c r="BF239" s="12432"/>
      <c r="BG239" s="12433"/>
      <c r="BH239" s="12434"/>
      <c r="BI239" s="12435"/>
      <c r="BJ239" s="12436"/>
      <c r="BK239" s="12437"/>
      <c r="BL239" s="12438"/>
      <c r="BM239" s="12439"/>
      <c r="BN239" s="12440"/>
      <c r="BO239" s="12441"/>
      <c r="BP239" s="12442"/>
      <c r="BQ239" s="12443"/>
      <c r="BR239" s="12444"/>
      <c r="BS239" s="12445"/>
      <c r="BT239" s="12446"/>
      <c r="BU239" s="12447"/>
      <c r="BV239" s="12448"/>
      <c r="BW239" s="12449"/>
      <c r="BX239" s="12450"/>
      <c r="BY239" s="12451"/>
      <c r="BZ239" s="12452"/>
      <c r="CA239" s="12453"/>
      <c r="CB239" s="12454"/>
      <c r="CC239" s="12455"/>
      <c r="CD239" s="12456"/>
      <c r="CE239" s="12457"/>
      <c r="CF239" s="12458"/>
      <c r="CG239" s="12459"/>
      <c r="CH239" s="12460"/>
      <c r="CI239" s="12461"/>
      <c r="CJ239" s="12462"/>
      <c r="CK239" s="12463"/>
      <c r="CL239" s="12464"/>
      <c r="CM239" s="12752"/>
      <c r="CN239" s="4228"/>
      <c r="CO239" s="4229"/>
      <c r="CP239" s="1649"/>
      <c r="CQ239" s="1631"/>
      <c r="CR239" s="1631" t="str">
        <f>IF(T239="","",T239)</f>
        <v>Добавить группу потребителей</v>
      </c>
      <c r="CS239" s="1631"/>
      <c r="CT239" s="1631"/>
      <c r="CU239" s="1642">
        <v>0</v>
      </c>
    </row>
    <row s="1857" customFormat="1" customHeight="1" ht="14.25">
      <c r="A240" s="1370"/>
      <c r="B240" s="1370"/>
      <c r="C240" s="1370"/>
      <c r="D240" s="1370"/>
      <c r="E240" s="2266"/>
      <c r="F240" s="2266" t="s">
        <v>184</v>
      </c>
      <c r="G240" s="2266"/>
      <c r="H240" s="2265"/>
      <c r="I240" s="1370"/>
      <c r="J240" s="1370"/>
      <c r="K240" s="1370"/>
      <c r="L240" s="1376"/>
      <c r="M240" s="1372"/>
      <c r="N240" s="1372"/>
      <c r="O240" s="1373"/>
      <c r="P240" s="1830"/>
      <c r="Q240" s="382"/>
      <c r="R240" s="362"/>
      <c r="S240" s="4230"/>
      <c r="T240" s="4231" t="s">
        <v>648</v>
      </c>
      <c r="U240" s="4232"/>
      <c r="V240" s="4233"/>
      <c r="W240" s="4234"/>
      <c r="X240" s="4235"/>
      <c r="Y240" s="4236"/>
      <c r="Z240" s="4237"/>
      <c r="AA240" s="4238"/>
      <c r="AB240" s="4239"/>
      <c r="AC240" s="4240"/>
      <c r="AD240" s="4241"/>
      <c r="AE240" s="4242"/>
      <c r="AF240" s="4243"/>
      <c r="AG240" s="4244"/>
      <c r="AH240" s="4245"/>
      <c r="AI240" s="4246"/>
      <c r="AJ240" s="12466"/>
      <c r="AK240" s="12467"/>
      <c r="AL240" s="12468"/>
      <c r="AM240" s="12469"/>
      <c r="AN240" s="12470"/>
      <c r="AO240" s="12471"/>
      <c r="AP240" s="12472"/>
      <c r="AQ240" s="12473"/>
      <c r="AR240" s="12474"/>
      <c r="AS240" s="12475"/>
      <c r="AT240" s="12476"/>
      <c r="AU240" s="12477"/>
      <c r="AV240" s="12478"/>
      <c r="AW240" s="12479"/>
      <c r="AX240" s="12480"/>
      <c r="AY240" s="12481"/>
      <c r="AZ240" s="12482"/>
      <c r="BA240" s="12483"/>
      <c r="BB240" s="12484"/>
      <c r="BC240" s="12485"/>
      <c r="BD240" s="12486"/>
      <c r="BE240" s="12487"/>
      <c r="BF240" s="12488"/>
      <c r="BG240" s="12489"/>
      <c r="BH240" s="12490"/>
      <c r="BI240" s="12491"/>
      <c r="BJ240" s="12492"/>
      <c r="BK240" s="12493"/>
      <c r="BL240" s="12494"/>
      <c r="BM240" s="12495"/>
      <c r="BN240" s="12496"/>
      <c r="BO240" s="12497"/>
      <c r="BP240" s="12498"/>
      <c r="BQ240" s="12499"/>
      <c r="BR240" s="12500"/>
      <c r="BS240" s="12501"/>
      <c r="BT240" s="12502"/>
      <c r="BU240" s="12503"/>
      <c r="BV240" s="12504"/>
      <c r="BW240" s="12505"/>
      <c r="BX240" s="12506"/>
      <c r="BY240" s="12507"/>
      <c r="BZ240" s="12508"/>
      <c r="CA240" s="12509"/>
      <c r="CB240" s="12510"/>
      <c r="CC240" s="12511"/>
      <c r="CD240" s="12512"/>
      <c r="CE240" s="12513"/>
      <c r="CF240" s="12514"/>
      <c r="CG240" s="12515"/>
      <c r="CH240" s="12516"/>
      <c r="CI240" s="12517"/>
      <c r="CJ240" s="12518"/>
      <c r="CK240" s="12519"/>
      <c r="CL240" s="12520"/>
      <c r="CM240" s="12753"/>
      <c r="CN240" s="4254"/>
      <c r="CO240" s="4255"/>
      <c r="CP240" s="1649"/>
      <c r="CQ240" s="1631"/>
      <c r="CR240" s="1631" t="str">
        <f>IF(T240="","",T240)</f>
        <v>Добавить наименование признака дифференциации</v>
      </c>
      <c r="CS240" s="1631"/>
      <c r="CT240" s="1631"/>
      <c r="CU240" s="1642">
        <v>0</v>
      </c>
    </row>
    <row s="629" customFormat="1" customHeight="1" ht="14.25">
      <c r="A241" s="1350"/>
      <c r="B241" s="1350"/>
      <c r="C241" s="1350"/>
      <c r="D241" s="1350"/>
      <c r="E241" s="2266"/>
      <c r="F241" s="2265" t="s">
        <v>184</v>
      </c>
      <c r="G241" s="1350"/>
      <c r="H241" s="1350"/>
      <c r="I241" s="1350"/>
      <c r="J241" s="1350"/>
      <c r="K241" s="1350"/>
      <c r="L241" s="1552"/>
      <c r="M241" s="1328"/>
      <c r="N241" s="1328"/>
      <c r="O241" s="1649"/>
      <c r="P241" s="1323"/>
      <c r="Q241" s="1351"/>
      <c r="R241" s="1323"/>
      <c r="S241" s="1329"/>
      <c r="T241" s="1332" t="s">
        <v>316</v>
      </c>
      <c r="U241" s="1331"/>
      <c r="V241" s="1331"/>
      <c r="W241" s="1331"/>
      <c r="X241" s="1331"/>
      <c r="Y241" s="1331"/>
      <c r="Z241" s="1331"/>
      <c r="AA241" s="1331"/>
      <c r="AB241" s="1331"/>
      <c r="AC241" s="1331"/>
      <c r="AD241" s="1331"/>
      <c r="AE241" s="1331"/>
      <c r="AF241" s="1331"/>
      <c r="AG241" s="1331"/>
      <c r="AH241" s="1331"/>
      <c r="AI241" s="1331"/>
      <c r="AJ241" s="1331"/>
      <c r="AK241" s="1331"/>
      <c r="AL241" s="1331"/>
      <c r="AM241" s="1331"/>
      <c r="AN241" s="1331"/>
      <c r="AO241" s="1331"/>
      <c r="AP241" s="1331"/>
      <c r="AQ241" s="1331"/>
      <c r="AR241" s="1331"/>
      <c r="AS241" s="1331"/>
      <c r="AT241" s="1331"/>
      <c r="AU241" s="1331"/>
      <c r="AV241" s="1331"/>
      <c r="AW241" s="1331"/>
      <c r="AX241" s="1331"/>
      <c r="AY241" s="1331"/>
      <c r="AZ241" s="1331"/>
      <c r="BA241" s="1331"/>
      <c r="BB241" s="1331"/>
      <c r="BC241" s="1331"/>
      <c r="BD241" s="1331"/>
      <c r="BE241" s="1331"/>
      <c r="BF241" s="1331"/>
      <c r="BG241" s="1331"/>
      <c r="BH241" s="1331"/>
      <c r="BI241" s="1331"/>
      <c r="BJ241" s="1331"/>
      <c r="BK241" s="1331"/>
      <c r="BL241" s="1331"/>
      <c r="BM241" s="1331"/>
      <c r="BN241" s="1331"/>
      <c r="BO241" s="1331"/>
      <c r="BP241" s="1331"/>
      <c r="BQ241" s="1331"/>
      <c r="BR241" s="1331"/>
      <c r="BS241" s="1331"/>
      <c r="BT241" s="1331"/>
      <c r="BU241" s="1331"/>
      <c r="BV241" s="1331"/>
      <c r="BW241" s="1331"/>
      <c r="BX241" s="1331"/>
      <c r="BY241" s="1331"/>
      <c r="BZ241" s="1331"/>
      <c r="CA241" s="1331"/>
      <c r="CB241" s="1331"/>
      <c r="CC241" s="1331"/>
      <c r="CD241" s="1331"/>
      <c r="CE241" s="1331"/>
      <c r="CF241" s="1331"/>
      <c r="CG241" s="1331"/>
      <c r="CH241" s="1331"/>
      <c r="CI241" s="1331"/>
      <c r="CJ241" s="1331"/>
      <c r="CK241" s="1331"/>
      <c r="CL241" s="1331"/>
      <c r="CM241" s="1331"/>
      <c r="CN241" s="1331"/>
      <c r="CO241" s="1331"/>
      <c r="CP241" s="1649"/>
      <c r="CQ241" s="1631"/>
      <c r="CR241" s="1631" t="str">
        <f>IF(T241="","",T241)</f>
        <v>Добавить централизованную систему для дифференциации</v>
      </c>
      <c r="CS241" s="1631"/>
      <c r="CT241" s="1631"/>
      <c r="CU241" s="1649">
        <v>0</v>
      </c>
    </row>
    <row s="1857" customFormat="1" customHeight="1" ht="23.25">
      <c r="A242" s="1370"/>
      <c r="B242" s="1370" t="s">
        <v>387</v>
      </c>
      <c r="C242" s="1370"/>
      <c r="D242" s="1370"/>
      <c r="E242" s="2266"/>
      <c r="F242" s="2265" t="s">
        <v>194</v>
      </c>
      <c r="G242" s="1370"/>
      <c r="H242" s="1370"/>
      <c r="I242" s="1370"/>
      <c r="J242" s="1370"/>
      <c r="K242" s="1370"/>
      <c r="L242" s="1376"/>
      <c r="M242" s="1372"/>
      <c r="N242" s="1372"/>
      <c r="O242" s="1372"/>
      <c r="P242" s="2132"/>
      <c r="Q242" s="359"/>
      <c r="R242" s="360"/>
      <c r="S242" s="2280" t="str">
        <f>INDEX(PT_DIFFERENTIATION_NUM_TER,MATCH(B242,PT_DIFFERENTIATION_TER_ID,0))</f>
        <v>1.21</v>
      </c>
      <c r="T242" s="1529" t="s">
        <v>560</v>
      </c>
      <c r="U242" s="307"/>
      <c r="V242" s="2249"/>
      <c r="W242" s="2250"/>
      <c r="X242" s="2250"/>
      <c r="Y242" s="2250"/>
      <c r="Z242" s="2250"/>
      <c r="AA242" s="2250"/>
      <c r="AB242" s="2251"/>
      <c r="AC242" s="2249" t="str">
        <f>INDEX(PT_DIFFERENTIATION_TER,MATCH(B242,PT_DIFFERENTIATION_TER_ID,0))</f>
        <v>Территория 21</v>
      </c>
      <c r="AD242" s="2250"/>
      <c r="AE242" s="2250"/>
      <c r="AF242" s="2250"/>
      <c r="AG242" s="2250"/>
      <c r="AH242" s="2250"/>
      <c r="AI242" s="2250"/>
      <c r="AJ242" s="2249"/>
      <c r="AK242" s="2250"/>
      <c r="AL242" s="2250"/>
      <c r="AM242" s="2250"/>
      <c r="AN242" s="2250"/>
      <c r="AO242" s="2250"/>
      <c r="AP242" s="2251"/>
      <c r="AQ242" s="2249"/>
      <c r="AR242" s="2250"/>
      <c r="AS242" s="2250"/>
      <c r="AT242" s="2250"/>
      <c r="AU242" s="2250"/>
      <c r="AV242" s="2250"/>
      <c r="AW242" s="2251"/>
      <c r="AX242" s="2249"/>
      <c r="AY242" s="2250"/>
      <c r="AZ242" s="2250"/>
      <c r="BA242" s="2250"/>
      <c r="BB242" s="2250"/>
      <c r="BC242" s="2250"/>
      <c r="BD242" s="2251"/>
      <c r="BE242" s="2249"/>
      <c r="BF242" s="2250"/>
      <c r="BG242" s="2250"/>
      <c r="BH242" s="2250"/>
      <c r="BI242" s="2250"/>
      <c r="BJ242" s="2250"/>
      <c r="BK242" s="2251"/>
      <c r="BL242" s="2249"/>
      <c r="BM242" s="2250"/>
      <c r="BN242" s="2250"/>
      <c r="BO242" s="2250"/>
      <c r="BP242" s="2250"/>
      <c r="BQ242" s="2250"/>
      <c r="BR242" s="2251"/>
      <c r="BS242" s="2249"/>
      <c r="BT242" s="2250"/>
      <c r="BU242" s="2250"/>
      <c r="BV242" s="2250"/>
      <c r="BW242" s="2250"/>
      <c r="BX242" s="2250"/>
      <c r="BY242" s="2251"/>
      <c r="BZ242" s="2249"/>
      <c r="CA242" s="2250"/>
      <c r="CB242" s="2250"/>
      <c r="CC242" s="2250"/>
      <c r="CD242" s="2250"/>
      <c r="CE242" s="2250"/>
      <c r="CF242" s="2251"/>
      <c r="CG242" s="2249"/>
      <c r="CH242" s="2250"/>
      <c r="CI242" s="2250"/>
      <c r="CJ242" s="2250"/>
      <c r="CK242" s="2250"/>
      <c r="CL242" s="2250"/>
      <c r="CM242" s="4492"/>
      <c r="CN242" s="2251"/>
      <c r="CO242" s="1265" t="s">
        <v>561</v>
      </c>
      <c r="CP242" s="1649"/>
      <c r="CQ242" s="1631"/>
      <c r="CR242" s="1631" t="str">
        <f>IF(T242="","",T242)</f>
        <v>Территория действия тарифа</v>
      </c>
      <c r="CS242" s="1631"/>
      <c r="CT242" s="1631"/>
      <c r="CU242" s="1642">
        <v>0</v>
      </c>
    </row>
    <row s="1857" customFormat="1" customHeight="1" ht="23.25">
      <c r="A243" s="1370"/>
      <c r="B243" s="1370"/>
      <c r="C243" s="1370" t="s">
        <v>388</v>
      </c>
      <c r="D243" s="1370"/>
      <c r="E243" s="2266"/>
      <c r="F243" s="2266" t="s">
        <v>190</v>
      </c>
      <c r="G243" s="2265">
        <v>1</v>
      </c>
      <c r="H243" s="1370"/>
      <c r="I243" s="1370"/>
      <c r="J243" s="1370"/>
      <c r="K243" s="1370"/>
      <c r="L243" s="1376"/>
      <c r="M243" s="1372"/>
      <c r="N243" s="1372"/>
      <c r="O243" s="1372"/>
      <c r="P243" s="361"/>
      <c r="Q243" s="359"/>
      <c r="R243" s="360"/>
      <c r="S243" s="2280" t="str">
        <f>INDEX(PT_DIFFERENTIATION_NUM_CS,MATCH(C243,PT_DIFFERENTIATION_CS_ID,0))</f>
        <v>1.21.1</v>
      </c>
      <c r="T243" s="316" t="s">
        <v>641</v>
      </c>
      <c r="U243" s="307"/>
      <c r="V243" s="2249"/>
      <c r="W243" s="2250"/>
      <c r="X243" s="2250"/>
      <c r="Y243" s="2250"/>
      <c r="Z243" s="2250"/>
      <c r="AA243" s="2250"/>
      <c r="AB243" s="2251"/>
      <c r="AC243" s="2249" t="str">
        <f>INDEX(PT_DIFFERENTIATION_CS,MATCH(C243,PT_DIFFERENTIATION_CS_ID,0))</f>
        <v>Яковлевский район</v>
      </c>
      <c r="AD243" s="2250"/>
      <c r="AE243" s="2250"/>
      <c r="AF243" s="2250"/>
      <c r="AG243" s="2250"/>
      <c r="AH243" s="2250"/>
      <c r="AI243" s="2250"/>
      <c r="AJ243" s="2249"/>
      <c r="AK243" s="2250"/>
      <c r="AL243" s="2250"/>
      <c r="AM243" s="2250"/>
      <c r="AN243" s="2250"/>
      <c r="AO243" s="2250"/>
      <c r="AP243" s="2251"/>
      <c r="AQ243" s="2249"/>
      <c r="AR243" s="2250"/>
      <c r="AS243" s="2250"/>
      <c r="AT243" s="2250"/>
      <c r="AU243" s="2250"/>
      <c r="AV243" s="2250"/>
      <c r="AW243" s="2251"/>
      <c r="AX243" s="2249"/>
      <c r="AY243" s="2250"/>
      <c r="AZ243" s="2250"/>
      <c r="BA243" s="2250"/>
      <c r="BB243" s="2250"/>
      <c r="BC243" s="2250"/>
      <c r="BD243" s="2251"/>
      <c r="BE243" s="2249"/>
      <c r="BF243" s="2250"/>
      <c r="BG243" s="2250"/>
      <c r="BH243" s="2250"/>
      <c r="BI243" s="2250"/>
      <c r="BJ243" s="2250"/>
      <c r="BK243" s="2251"/>
      <c r="BL243" s="2249"/>
      <c r="BM243" s="2250"/>
      <c r="BN243" s="2250"/>
      <c r="BO243" s="2250"/>
      <c r="BP243" s="2250"/>
      <c r="BQ243" s="2250"/>
      <c r="BR243" s="2251"/>
      <c r="BS243" s="2249"/>
      <c r="BT243" s="2250"/>
      <c r="BU243" s="2250"/>
      <c r="BV243" s="2250"/>
      <c r="BW243" s="2250"/>
      <c r="BX243" s="2250"/>
      <c r="BY243" s="2251"/>
      <c r="BZ243" s="2249"/>
      <c r="CA243" s="2250"/>
      <c r="CB243" s="2250"/>
      <c r="CC243" s="2250"/>
      <c r="CD243" s="2250"/>
      <c r="CE243" s="2250"/>
      <c r="CF243" s="2251"/>
      <c r="CG243" s="2249"/>
      <c r="CH243" s="2250"/>
      <c r="CI243" s="2250"/>
      <c r="CJ243" s="2250"/>
      <c r="CK243" s="2250"/>
      <c r="CL243" s="2250"/>
      <c r="CM243" s="4492"/>
      <c r="CN243" s="2251"/>
      <c r="CO243" s="1265" t="s">
        <v>642</v>
      </c>
      <c r="CP243" s="1649"/>
      <c r="CQ243" s="1631"/>
      <c r="CR243" s="1631" t="str">
        <f>IF(T243="","",T243)</f>
        <v>Наименование централизованной системы холодного водоснабжения</v>
      </c>
      <c r="CS243" s="1631"/>
      <c r="CT243" s="1631"/>
      <c r="CU243" s="1642">
        <v>0</v>
      </c>
    </row>
    <row s="1857" customFormat="1" customHeight="1" ht="23.25">
      <c r="A244" s="1370"/>
      <c r="B244" s="1370"/>
      <c r="C244" s="1370"/>
      <c r="D244" s="1370"/>
      <c r="E244" s="2266"/>
      <c r="F244" s="2266" t="s">
        <v>190</v>
      </c>
      <c r="G244" s="2266"/>
      <c r="H244" s="2266"/>
      <c r="I244" s="2263" t="str">
        <f>S243&amp;".1"</f>
        <v>1.21.1.1</v>
      </c>
      <c r="J244" s="1370"/>
      <c r="K244" s="1370"/>
      <c r="L244" s="1376"/>
      <c r="M244" s="1783"/>
      <c r="N244" s="1783"/>
      <c r="O244" s="1783"/>
      <c r="P244" s="2381">
        <v>1</v>
      </c>
      <c r="Q244" s="2381"/>
      <c r="R244" s="363"/>
      <c r="S244" s="2280" t="str">
        <f>$I244</f>
        <v>1.21.1.1</v>
      </c>
      <c r="T244" s="292" t="s">
        <v>643</v>
      </c>
      <c r="U244" s="307"/>
      <c r="V244" s="2357"/>
      <c r="W244" s="2358"/>
      <c r="X244" s="2358"/>
      <c r="Y244" s="2358"/>
      <c r="Z244" s="2358"/>
      <c r="AA244" s="2358"/>
      <c r="AB244" s="2359"/>
      <c r="AC244" s="2360" t="s">
        <v>386</v>
      </c>
      <c r="AD244" s="2361"/>
      <c r="AE244" s="2361"/>
      <c r="AF244" s="2361"/>
      <c r="AG244" s="2361"/>
      <c r="AH244" s="2361"/>
      <c r="AI244" s="2361"/>
      <c r="AJ244" s="2357"/>
      <c r="AK244" s="2358"/>
      <c r="AL244" s="2358"/>
      <c r="AM244" s="2358"/>
      <c r="AN244" s="2358"/>
      <c r="AO244" s="2358"/>
      <c r="AP244" s="2359"/>
      <c r="AQ244" s="2357"/>
      <c r="AR244" s="2358"/>
      <c r="AS244" s="2358"/>
      <c r="AT244" s="2358"/>
      <c r="AU244" s="2358"/>
      <c r="AV244" s="2358"/>
      <c r="AW244" s="2359"/>
      <c r="AX244" s="2357"/>
      <c r="AY244" s="2358"/>
      <c r="AZ244" s="2358"/>
      <c r="BA244" s="2358"/>
      <c r="BB244" s="2358"/>
      <c r="BC244" s="2358"/>
      <c r="BD244" s="2359"/>
      <c r="BE244" s="2357"/>
      <c r="BF244" s="2358"/>
      <c r="BG244" s="2358"/>
      <c r="BH244" s="2358"/>
      <c r="BI244" s="2358"/>
      <c r="BJ244" s="2358"/>
      <c r="BK244" s="2359"/>
      <c r="BL244" s="2357"/>
      <c r="BM244" s="2358"/>
      <c r="BN244" s="2358"/>
      <c r="BO244" s="2358"/>
      <c r="BP244" s="2358"/>
      <c r="BQ244" s="2358"/>
      <c r="BR244" s="2359"/>
      <c r="BS244" s="2357"/>
      <c r="BT244" s="2358"/>
      <c r="BU244" s="2358"/>
      <c r="BV244" s="2358"/>
      <c r="BW244" s="2358"/>
      <c r="BX244" s="2358"/>
      <c r="BY244" s="2359"/>
      <c r="BZ244" s="2357"/>
      <c r="CA244" s="2358"/>
      <c r="CB244" s="2358"/>
      <c r="CC244" s="2358"/>
      <c r="CD244" s="2358"/>
      <c r="CE244" s="2358"/>
      <c r="CF244" s="2359"/>
      <c r="CG244" s="2357"/>
      <c r="CH244" s="2358"/>
      <c r="CI244" s="2358"/>
      <c r="CJ244" s="2358"/>
      <c r="CK244" s="2358"/>
      <c r="CL244" s="2358"/>
      <c r="CM244" s="4495"/>
      <c r="CN244" s="2362"/>
      <c r="CO244" s="1265" t="s">
        <v>644</v>
      </c>
      <c r="CP244" s="1649"/>
      <c r="CQ244" s="1631"/>
      <c r="CR244" s="1631" t="str">
        <f>IF(T244="","",T244)</f>
        <v>Наименование признака дифференциации</v>
      </c>
      <c r="CS244" s="1631"/>
      <c r="CT244" s="1631"/>
      <c r="CU244" s="1642">
        <v>0</v>
      </c>
    </row>
    <row s="1857" customFormat="1" customHeight="1" ht="23.25">
      <c r="A245" s="1370"/>
      <c r="B245" s="1370"/>
      <c r="C245" s="1370"/>
      <c r="D245" s="1370"/>
      <c r="E245" s="2266"/>
      <c r="F245" s="2266" t="s">
        <v>190</v>
      </c>
      <c r="G245" s="2266"/>
      <c r="H245" s="2266"/>
      <c r="I245" s="2293"/>
      <c r="J245" s="2263" t="str">
        <f>I244&amp;".1"</f>
        <v>1.21.1.1.1</v>
      </c>
      <c r="K245" s="1370"/>
      <c r="L245" s="1376" t="s">
        <v>569</v>
      </c>
      <c r="M245" s="1783"/>
      <c r="N245" s="1783"/>
      <c r="O245" s="1783"/>
      <c r="P245" s="2381"/>
      <c r="Q245" s="2381">
        <v>1</v>
      </c>
      <c r="R245" s="364"/>
      <c r="S245" s="2280" t="str">
        <f>$J245</f>
        <v>1.21.1.1.1</v>
      </c>
      <c r="T245" s="293" t="s">
        <v>570</v>
      </c>
      <c r="U245" s="307"/>
      <c r="V245" s="2252"/>
      <c r="W245" s="2253"/>
      <c r="X245" s="2253"/>
      <c r="Y245" s="2253"/>
      <c r="Z245" s="2253"/>
      <c r="AA245" s="2253"/>
      <c r="AB245" s="2254"/>
      <c r="AC245" s="2252" t="s">
        <v>656</v>
      </c>
      <c r="AD245" s="2253"/>
      <c r="AE245" s="2253"/>
      <c r="AF245" s="2253"/>
      <c r="AG245" s="2253"/>
      <c r="AH245" s="2253"/>
      <c r="AI245" s="2253"/>
      <c r="AJ245" s="2252"/>
      <c r="AK245" s="2253"/>
      <c r="AL245" s="2253"/>
      <c r="AM245" s="2253"/>
      <c r="AN245" s="2253"/>
      <c r="AO245" s="2253"/>
      <c r="AP245" s="2254"/>
      <c r="AQ245" s="2252"/>
      <c r="AR245" s="2253"/>
      <c r="AS245" s="2253"/>
      <c r="AT245" s="2253"/>
      <c r="AU245" s="2253"/>
      <c r="AV245" s="2253"/>
      <c r="AW245" s="2254"/>
      <c r="AX245" s="2252"/>
      <c r="AY245" s="2253"/>
      <c r="AZ245" s="2253"/>
      <c r="BA245" s="2253"/>
      <c r="BB245" s="2253"/>
      <c r="BC245" s="2253"/>
      <c r="BD245" s="2254"/>
      <c r="BE245" s="2252"/>
      <c r="BF245" s="2253"/>
      <c r="BG245" s="2253"/>
      <c r="BH245" s="2253"/>
      <c r="BI245" s="2253"/>
      <c r="BJ245" s="2253"/>
      <c r="BK245" s="2254"/>
      <c r="BL245" s="2252"/>
      <c r="BM245" s="2253"/>
      <c r="BN245" s="2253"/>
      <c r="BO245" s="2253"/>
      <c r="BP245" s="2253"/>
      <c r="BQ245" s="2253"/>
      <c r="BR245" s="2254"/>
      <c r="BS245" s="2252"/>
      <c r="BT245" s="2253"/>
      <c r="BU245" s="2253"/>
      <c r="BV245" s="2253"/>
      <c r="BW245" s="2253"/>
      <c r="BX245" s="2253"/>
      <c r="BY245" s="2254"/>
      <c r="BZ245" s="2252"/>
      <c r="CA245" s="2253"/>
      <c r="CB245" s="2253"/>
      <c r="CC245" s="2253"/>
      <c r="CD245" s="2253"/>
      <c r="CE245" s="2253"/>
      <c r="CF245" s="2254"/>
      <c r="CG245" s="2252"/>
      <c r="CH245" s="2253"/>
      <c r="CI245" s="2253"/>
      <c r="CJ245" s="2253"/>
      <c r="CK245" s="2253"/>
      <c r="CL245" s="2253"/>
      <c r="CM245" s="4498"/>
      <c r="CN245" s="2254"/>
      <c r="CO245" s="1314" t="s">
        <v>645</v>
      </c>
      <c r="CP245" s="1649"/>
      <c r="CQ245" s="1631"/>
      <c r="CR245" s="1631" t="str">
        <f>IF(T245="","",T245)</f>
        <v>Группа потребителей</v>
      </c>
      <c r="CS245" s="1631"/>
      <c r="CT245" s="1631"/>
      <c r="CU245" s="1642">
        <v>0</v>
      </c>
    </row>
    <row s="1857" customFormat="1" customHeight="1" ht="23.25">
      <c r="A246" s="1370"/>
      <c r="B246" s="1370"/>
      <c r="C246" s="1370"/>
      <c r="D246" s="1370"/>
      <c r="E246" s="2266"/>
      <c r="F246" s="2266" t="s">
        <v>190</v>
      </c>
      <c r="G246" s="2266"/>
      <c r="H246" s="2266"/>
      <c r="I246" s="2293"/>
      <c r="J246" s="2293"/>
      <c r="K246" s="2263" t="str">
        <f>J245&amp;".1"</f>
        <v>1.21.1.1.1.1</v>
      </c>
      <c r="L246" s="1376"/>
      <c r="M246" s="1783"/>
      <c r="N246" s="1783"/>
      <c r="O246" s="1783"/>
      <c r="P246" s="2381"/>
      <c r="Q246" s="2381"/>
      <c r="R246" s="364">
        <v>1</v>
      </c>
      <c r="S246" s="2280" t="str">
        <f>$K246</f>
        <v>1.21.1.1.1.1</v>
      </c>
      <c r="T246" s="1444" t="s">
        <v>657</v>
      </c>
      <c r="U246" s="307"/>
      <c r="V246" s="758"/>
      <c r="W246" s="758"/>
      <c r="X246" s="1264"/>
      <c r="Y246" s="2609"/>
      <c r="Z246" s="2114" t="s">
        <v>66</v>
      </c>
      <c r="AA246" s="2609"/>
      <c r="AB246" s="2114" t="s">
        <v>66</v>
      </c>
      <c r="AC246" s="758">
        <v>25.54</v>
      </c>
      <c r="AD246" s="758"/>
      <c r="AE246" s="1264"/>
      <c r="AF246" s="2609">
        <v>44896</v>
      </c>
      <c r="AG246" s="2114" t="s">
        <v>66</v>
      </c>
      <c r="AH246" s="2294">
        <v>45291</v>
      </c>
      <c r="AI246" s="2114" t="s">
        <v>66</v>
      </c>
      <c r="AJ246" s="758">
        <v>25.54</v>
      </c>
      <c r="AK246" s="758"/>
      <c r="AL246" s="1264"/>
      <c r="AM246" s="2609">
        <v>45292</v>
      </c>
      <c r="AN246" s="2114" t="s">
        <v>66</v>
      </c>
      <c r="AO246" s="2609">
        <v>45473</v>
      </c>
      <c r="AP246" s="2114" t="s">
        <v>66</v>
      </c>
      <c r="AQ246" s="758">
        <v>28.98</v>
      </c>
      <c r="AR246" s="758"/>
      <c r="AS246" s="1264"/>
      <c r="AT246" s="2609">
        <v>45474</v>
      </c>
      <c r="AU246" s="2114" t="s">
        <v>66</v>
      </c>
      <c r="AV246" s="2609">
        <v>45657</v>
      </c>
      <c r="AW246" s="2114" t="s">
        <v>66</v>
      </c>
      <c r="AX246" s="758">
        <v>28.98</v>
      </c>
      <c r="AY246" s="758"/>
      <c r="AZ246" s="1264"/>
      <c r="BA246" s="2609">
        <v>45658</v>
      </c>
      <c r="BB246" s="2114" t="s">
        <v>66</v>
      </c>
      <c r="BC246" s="2609">
        <v>45838</v>
      </c>
      <c r="BD246" s="2114" t="s">
        <v>66</v>
      </c>
      <c r="BE246" s="758">
        <v>38.85</v>
      </c>
      <c r="BF246" s="758"/>
      <c r="BG246" s="1264"/>
      <c r="BH246" s="2609">
        <v>45839</v>
      </c>
      <c r="BI246" s="2114" t="s">
        <v>66</v>
      </c>
      <c r="BJ246" s="2609">
        <v>46022</v>
      </c>
      <c r="BK246" s="2114" t="s">
        <v>66</v>
      </c>
      <c r="BL246" s="758">
        <v>27.6</v>
      </c>
      <c r="BM246" s="758"/>
      <c r="BN246" s="1264"/>
      <c r="BO246" s="2609">
        <v>46023</v>
      </c>
      <c r="BP246" s="2114" t="s">
        <v>66</v>
      </c>
      <c r="BQ246" s="2609">
        <v>46203</v>
      </c>
      <c r="BR246" s="2114" t="s">
        <v>66</v>
      </c>
      <c r="BS246" s="758">
        <v>29.54</v>
      </c>
      <c r="BT246" s="758"/>
      <c r="BU246" s="1264"/>
      <c r="BV246" s="2609">
        <v>46204</v>
      </c>
      <c r="BW246" s="2114" t="s">
        <v>66</v>
      </c>
      <c r="BX246" s="2609">
        <v>46387</v>
      </c>
      <c r="BY246" s="2114" t="s">
        <v>66</v>
      </c>
      <c r="BZ246" s="758">
        <v>29.54</v>
      </c>
      <c r="CA246" s="758"/>
      <c r="CB246" s="1264"/>
      <c r="CC246" s="2609">
        <v>46388</v>
      </c>
      <c r="CD246" s="2114" t="s">
        <v>66</v>
      </c>
      <c r="CE246" s="2609">
        <v>46568</v>
      </c>
      <c r="CF246" s="2114" t="s">
        <v>66</v>
      </c>
      <c r="CG246" s="758">
        <v>29.62</v>
      </c>
      <c r="CH246" s="758"/>
      <c r="CI246" s="1264"/>
      <c r="CJ246" s="2609">
        <v>46569</v>
      </c>
      <c r="CK246" s="2114" t="s">
        <v>66</v>
      </c>
      <c r="CL246" s="2609">
        <v>46752</v>
      </c>
      <c r="CM246" s="2114" t="s">
        <v>66</v>
      </c>
      <c r="CN246" s="1445"/>
      <c r="CO2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CP246" s="1649">
        <f>STRCHECKDATE(V247:CN247)</f>
      </c>
      <c r="CQ246" s="1631"/>
      <c r="CR246" s="1631" t="str">
        <f>IF(T246="","",T246)</f>
        <v>Тариф по водоснабжению без НДС</v>
      </c>
      <c r="CS246" s="1631"/>
      <c r="CT246" s="1631"/>
      <c r="CU246" s="1642">
        <v>0</v>
      </c>
    </row>
    <row s="1857" customFormat="1" customHeight="1" ht="14.25">
      <c r="A247" s="1370"/>
      <c r="B247" s="1370"/>
      <c r="C247" s="1370"/>
      <c r="D247" s="1370"/>
      <c r="E247" s="2266"/>
      <c r="F247" s="2266" t="s">
        <v>190</v>
      </c>
      <c r="G247" s="2266"/>
      <c r="H247" s="2266"/>
      <c r="I247" s="2293"/>
      <c r="J247" s="2293"/>
      <c r="K247" s="2263"/>
      <c r="L247" s="1376"/>
      <c r="M247" s="1783"/>
      <c r="N247" s="1783"/>
      <c r="O247" s="1783"/>
      <c r="P247" s="2381"/>
      <c r="Q247" s="2381"/>
      <c r="R247" s="364"/>
      <c r="S247" s="2520"/>
      <c r="T247" s="307"/>
      <c r="U247" s="307"/>
      <c r="V247" s="332"/>
      <c r="W247" s="332"/>
      <c r="X247" s="335" t="str">
        <f>Y246&amp;"-"&amp;AA246</f>
        <v>-</v>
      </c>
      <c r="Y247" s="2316"/>
      <c r="Z247" s="2114"/>
      <c r="AA247" s="2316"/>
      <c r="AB247" s="2114"/>
      <c r="AC247" s="332"/>
      <c r="AD247" s="332"/>
      <c r="AE247" s="335" t="str">
        <f>AF246&amp;"-"&amp;AH246</f>
        <v>44896-45291</v>
      </c>
      <c r="AF247" s="2316"/>
      <c r="AG247" s="2114"/>
      <c r="AH247" s="2295"/>
      <c r="AI247" s="2114"/>
      <c r="AJ247" s="332"/>
      <c r="AK247" s="332"/>
      <c r="AL247" s="335" t="str">
        <f>AM246&amp;"-"&amp;AO246</f>
        <v>45292-45473</v>
      </c>
      <c r="AM247" s="2316"/>
      <c r="AN247" s="2114"/>
      <c r="AO247" s="2316"/>
      <c r="AP247" s="2114"/>
      <c r="AQ247" s="332"/>
      <c r="AR247" s="332"/>
      <c r="AS247" s="335" t="str">
        <f>AT246&amp;"-"&amp;AV246</f>
        <v>45474-45657</v>
      </c>
      <c r="AT247" s="2316"/>
      <c r="AU247" s="2114"/>
      <c r="AV247" s="2316"/>
      <c r="AW247" s="2114"/>
      <c r="AX247" s="332"/>
      <c r="AY247" s="332"/>
      <c r="AZ247" s="335" t="str">
        <f>BA246&amp;"-"&amp;BC246</f>
        <v>45658-45838</v>
      </c>
      <c r="BA247" s="2316"/>
      <c r="BB247" s="2114"/>
      <c r="BC247" s="2316"/>
      <c r="BD247" s="2114"/>
      <c r="BE247" s="332"/>
      <c r="BF247" s="332"/>
      <c r="BG247" s="335" t="str">
        <f>BH246&amp;"-"&amp;BJ246</f>
        <v>45839-46022</v>
      </c>
      <c r="BH247" s="2316"/>
      <c r="BI247" s="2114"/>
      <c r="BJ247" s="2316"/>
      <c r="BK247" s="2114"/>
      <c r="BL247" s="332"/>
      <c r="BM247" s="332"/>
      <c r="BN247" s="335" t="str">
        <f>BO246&amp;"-"&amp;BQ246</f>
        <v>46023-46203</v>
      </c>
      <c r="BO247" s="2316"/>
      <c r="BP247" s="2114"/>
      <c r="BQ247" s="2316"/>
      <c r="BR247" s="2114"/>
      <c r="BS247" s="332"/>
      <c r="BT247" s="332"/>
      <c r="BU247" s="335" t="str">
        <f>BV246&amp;"-"&amp;BX246</f>
        <v>46204-46387</v>
      </c>
      <c r="BV247" s="2316"/>
      <c r="BW247" s="2114"/>
      <c r="BX247" s="2316"/>
      <c r="BY247" s="2114"/>
      <c r="BZ247" s="332"/>
      <c r="CA247" s="332"/>
      <c r="CB247" s="335" t="str">
        <f>CC246&amp;"-"&amp;CE246</f>
        <v>46388-46568</v>
      </c>
      <c r="CC247" s="2316"/>
      <c r="CD247" s="2114"/>
      <c r="CE247" s="2316"/>
      <c r="CF247" s="2114"/>
      <c r="CG247" s="332"/>
      <c r="CH247" s="332"/>
      <c r="CI247" s="335" t="str">
        <f>CJ246&amp;"-"&amp;CL246</f>
        <v>46569-46752</v>
      </c>
      <c r="CJ247" s="2316"/>
      <c r="CK247" s="2114"/>
      <c r="CL247" s="2316"/>
      <c r="CM247" s="2114"/>
      <c r="CN247" s="1446"/>
      <c r="CO247" s="2356"/>
      <c r="CP247" s="1649"/>
      <c r="CQ247" s="1631"/>
      <c r="CR247" s="1631" t="str">
        <f>IF(T247="","",T247)</f>
        <v/>
      </c>
      <c r="CS247" s="1631"/>
      <c r="CT247" s="1631"/>
      <c r="CU247" s="1642">
        <v>0</v>
      </c>
    </row>
    <row s="1857" customFormat="1" customHeight="1" ht="21">
      <c r="A248" s="1370"/>
      <c r="B248" s="1370"/>
      <c r="C248" s="1370"/>
      <c r="D248" s="1370"/>
      <c r="E248" s="2266"/>
      <c r="F248" s="2266" t="s">
        <v>190</v>
      </c>
      <c r="G248" s="2266"/>
      <c r="H248" s="2266"/>
      <c r="I248" s="2293"/>
      <c r="J248" s="2263"/>
      <c r="K248" s="1370"/>
      <c r="L248" s="1376"/>
      <c r="M248" s="1783"/>
      <c r="N248" s="1783"/>
      <c r="O248" s="1783"/>
      <c r="P248" s="2381"/>
      <c r="Q248" s="2381"/>
      <c r="R248" s="363"/>
      <c r="S248" s="4256"/>
      <c r="T248" s="4257" t="s">
        <v>646</v>
      </c>
      <c r="U248" s="4258"/>
      <c r="V248" s="4259"/>
      <c r="W248" s="4260"/>
      <c r="X248" s="4261"/>
      <c r="Y248" s="4262"/>
      <c r="Z248" s="4263"/>
      <c r="AA248" s="4264"/>
      <c r="AB248" s="4265"/>
      <c r="AC248" s="4266"/>
      <c r="AD248" s="4267"/>
      <c r="AE248" s="4268"/>
      <c r="AF248" s="4269"/>
      <c r="AG248" s="4270"/>
      <c r="AH248" s="4271"/>
      <c r="AI248" s="4272"/>
      <c r="AJ248" s="12522"/>
      <c r="AK248" s="12523"/>
      <c r="AL248" s="12524"/>
      <c r="AM248" s="12525"/>
      <c r="AN248" s="12526"/>
      <c r="AO248" s="12527"/>
      <c r="AP248" s="12528"/>
      <c r="AQ248" s="12529"/>
      <c r="AR248" s="12530"/>
      <c r="AS248" s="12531"/>
      <c r="AT248" s="12532"/>
      <c r="AU248" s="12533"/>
      <c r="AV248" s="12534"/>
      <c r="AW248" s="12535"/>
      <c r="AX248" s="12536"/>
      <c r="AY248" s="12537"/>
      <c r="AZ248" s="12538"/>
      <c r="BA248" s="12539"/>
      <c r="BB248" s="12540"/>
      <c r="BC248" s="12541"/>
      <c r="BD248" s="12542"/>
      <c r="BE248" s="12543"/>
      <c r="BF248" s="12544"/>
      <c r="BG248" s="12545"/>
      <c r="BH248" s="12546"/>
      <c r="BI248" s="12547"/>
      <c r="BJ248" s="12548"/>
      <c r="BK248" s="12549"/>
      <c r="BL248" s="12550"/>
      <c r="BM248" s="12551"/>
      <c r="BN248" s="12552"/>
      <c r="BO248" s="12553"/>
      <c r="BP248" s="12554"/>
      <c r="BQ248" s="12555"/>
      <c r="BR248" s="12556"/>
      <c r="BS248" s="12557"/>
      <c r="BT248" s="12558"/>
      <c r="BU248" s="12559"/>
      <c r="BV248" s="12560"/>
      <c r="BW248" s="12561"/>
      <c r="BX248" s="12562"/>
      <c r="BY248" s="12563"/>
      <c r="BZ248" s="12564"/>
      <c r="CA248" s="12565"/>
      <c r="CB248" s="12566"/>
      <c r="CC248" s="12567"/>
      <c r="CD248" s="12568"/>
      <c r="CE248" s="12569"/>
      <c r="CF248" s="12570"/>
      <c r="CG248" s="12571"/>
      <c r="CH248" s="12572"/>
      <c r="CI248" s="12573"/>
      <c r="CJ248" s="12574"/>
      <c r="CK248" s="12575"/>
      <c r="CL248" s="12576"/>
      <c r="CM248" s="12754"/>
      <c r="CN248" s="4280"/>
      <c r="CO248" s="1265" t="s">
        <v>647</v>
      </c>
      <c r="CP248" s="1649"/>
      <c r="CQ248" s="1631"/>
      <c r="CR248" s="1631" t="str">
        <f>IF(T248="","",T248)</f>
        <v>Добавить значение признака дифференциации</v>
      </c>
      <c r="CS248" s="1631"/>
      <c r="CT248" s="1631"/>
      <c r="CU248" s="1642">
        <v>0</v>
      </c>
    </row>
    <row s="1857" customFormat="1" customHeight="1" ht="21">
      <c r="A249" s="1370"/>
      <c r="B249" s="1370"/>
      <c r="C249" s="1370"/>
      <c r="D249" s="1370"/>
      <c r="E249" s="2266"/>
      <c r="F249" s="2266" t="s">
        <v>190</v>
      </c>
      <c r="G249" s="2266"/>
      <c r="H249" s="2266"/>
      <c r="I249" s="2263"/>
      <c r="J249" s="1370"/>
      <c r="K249" s="1370"/>
      <c r="L249" s="1376"/>
      <c r="M249" s="1783"/>
      <c r="N249" s="1783"/>
      <c r="O249" s="1783"/>
      <c r="P249" s="2381"/>
      <c r="Q249" s="2381"/>
      <c r="R249" s="363"/>
      <c r="S249" s="4281"/>
      <c r="T249" s="4282" t="s">
        <v>575</v>
      </c>
      <c r="U249" s="4283"/>
      <c r="V249" s="4284"/>
      <c r="W249" s="4285"/>
      <c r="X249" s="4286"/>
      <c r="Y249" s="4287"/>
      <c r="Z249" s="4288"/>
      <c r="AA249" s="4289"/>
      <c r="AB249" s="4290"/>
      <c r="AC249" s="4291"/>
      <c r="AD249" s="4292"/>
      <c r="AE249" s="4293"/>
      <c r="AF249" s="4294"/>
      <c r="AG249" s="4295"/>
      <c r="AH249" s="4296"/>
      <c r="AI249" s="4297"/>
      <c r="AJ249" s="12578"/>
      <c r="AK249" s="12579"/>
      <c r="AL249" s="12580"/>
      <c r="AM249" s="12581"/>
      <c r="AN249" s="12582"/>
      <c r="AO249" s="12583"/>
      <c r="AP249" s="12584"/>
      <c r="AQ249" s="12585"/>
      <c r="AR249" s="12586"/>
      <c r="AS249" s="12587"/>
      <c r="AT249" s="12588"/>
      <c r="AU249" s="12589"/>
      <c r="AV249" s="12590"/>
      <c r="AW249" s="12591"/>
      <c r="AX249" s="12592"/>
      <c r="AY249" s="12593"/>
      <c r="AZ249" s="12594"/>
      <c r="BA249" s="12595"/>
      <c r="BB249" s="12596"/>
      <c r="BC249" s="12597"/>
      <c r="BD249" s="12598"/>
      <c r="BE249" s="12599"/>
      <c r="BF249" s="12600"/>
      <c r="BG249" s="12601"/>
      <c r="BH249" s="12602"/>
      <c r="BI249" s="12603"/>
      <c r="BJ249" s="12604"/>
      <c r="BK249" s="12605"/>
      <c r="BL249" s="12606"/>
      <c r="BM249" s="12607"/>
      <c r="BN249" s="12608"/>
      <c r="BO249" s="12609"/>
      <c r="BP249" s="12610"/>
      <c r="BQ249" s="12611"/>
      <c r="BR249" s="12612"/>
      <c r="BS249" s="12613"/>
      <c r="BT249" s="12614"/>
      <c r="BU249" s="12615"/>
      <c r="BV249" s="12616"/>
      <c r="BW249" s="12617"/>
      <c r="BX249" s="12618"/>
      <c r="BY249" s="12619"/>
      <c r="BZ249" s="12620"/>
      <c r="CA249" s="12621"/>
      <c r="CB249" s="12622"/>
      <c r="CC249" s="12623"/>
      <c r="CD249" s="12624"/>
      <c r="CE249" s="12625"/>
      <c r="CF249" s="12626"/>
      <c r="CG249" s="12627"/>
      <c r="CH249" s="12628"/>
      <c r="CI249" s="12629"/>
      <c r="CJ249" s="12630"/>
      <c r="CK249" s="12631"/>
      <c r="CL249" s="12632"/>
      <c r="CM249" s="12755"/>
      <c r="CN249" s="4305"/>
      <c r="CO249" s="4306"/>
      <c r="CP249" s="1649"/>
      <c r="CQ249" s="1631"/>
      <c r="CR249" s="1631" t="str">
        <f>IF(T249="","",T249)</f>
        <v>Добавить группу потребителей</v>
      </c>
      <c r="CS249" s="1631"/>
      <c r="CT249" s="1631"/>
      <c r="CU249" s="1642">
        <v>0</v>
      </c>
    </row>
    <row s="1857" customFormat="1" customHeight="1" ht="14.25">
      <c r="A250" s="1370"/>
      <c r="B250" s="1370"/>
      <c r="C250" s="1370"/>
      <c r="D250" s="1370"/>
      <c r="E250" s="2266"/>
      <c r="F250" s="2266" t="s">
        <v>190</v>
      </c>
      <c r="G250" s="2266"/>
      <c r="H250" s="2265"/>
      <c r="I250" s="1370"/>
      <c r="J250" s="1370"/>
      <c r="K250" s="1370"/>
      <c r="L250" s="1376"/>
      <c r="M250" s="1372"/>
      <c r="N250" s="1372"/>
      <c r="O250" s="1373"/>
      <c r="P250" s="1830"/>
      <c r="Q250" s="382"/>
      <c r="R250" s="362"/>
      <c r="S250" s="4307"/>
      <c r="T250" s="4308" t="s">
        <v>648</v>
      </c>
      <c r="U250" s="4309"/>
      <c r="V250" s="4310"/>
      <c r="W250" s="4311"/>
      <c r="X250" s="4312"/>
      <c r="Y250" s="4313"/>
      <c r="Z250" s="4314"/>
      <c r="AA250" s="4315"/>
      <c r="AB250" s="4316"/>
      <c r="AC250" s="4317"/>
      <c r="AD250" s="4318"/>
      <c r="AE250" s="4319"/>
      <c r="AF250" s="4320"/>
      <c r="AG250" s="4321"/>
      <c r="AH250" s="4322"/>
      <c r="AI250" s="4323"/>
      <c r="AJ250" s="12634"/>
      <c r="AK250" s="12635"/>
      <c r="AL250" s="12636"/>
      <c r="AM250" s="12637"/>
      <c r="AN250" s="12638"/>
      <c r="AO250" s="12639"/>
      <c r="AP250" s="12640"/>
      <c r="AQ250" s="12641"/>
      <c r="AR250" s="12642"/>
      <c r="AS250" s="12643"/>
      <c r="AT250" s="12644"/>
      <c r="AU250" s="12645"/>
      <c r="AV250" s="12646"/>
      <c r="AW250" s="12647"/>
      <c r="AX250" s="12648"/>
      <c r="AY250" s="12649"/>
      <c r="AZ250" s="12650"/>
      <c r="BA250" s="12651"/>
      <c r="BB250" s="12652"/>
      <c r="BC250" s="12653"/>
      <c r="BD250" s="12654"/>
      <c r="BE250" s="12655"/>
      <c r="BF250" s="12656"/>
      <c r="BG250" s="12657"/>
      <c r="BH250" s="12658"/>
      <c r="BI250" s="12659"/>
      <c r="BJ250" s="12660"/>
      <c r="BK250" s="12661"/>
      <c r="BL250" s="12662"/>
      <c r="BM250" s="12663"/>
      <c r="BN250" s="12664"/>
      <c r="BO250" s="12665"/>
      <c r="BP250" s="12666"/>
      <c r="BQ250" s="12667"/>
      <c r="BR250" s="12668"/>
      <c r="BS250" s="12669"/>
      <c r="BT250" s="12670"/>
      <c r="BU250" s="12671"/>
      <c r="BV250" s="12672"/>
      <c r="BW250" s="12673"/>
      <c r="BX250" s="12674"/>
      <c r="BY250" s="12675"/>
      <c r="BZ250" s="12676"/>
      <c r="CA250" s="12677"/>
      <c r="CB250" s="12678"/>
      <c r="CC250" s="12679"/>
      <c r="CD250" s="12680"/>
      <c r="CE250" s="12681"/>
      <c r="CF250" s="12682"/>
      <c r="CG250" s="12683"/>
      <c r="CH250" s="12684"/>
      <c r="CI250" s="12685"/>
      <c r="CJ250" s="12686"/>
      <c r="CK250" s="12687"/>
      <c r="CL250" s="12688"/>
      <c r="CM250" s="12756"/>
      <c r="CN250" s="4331"/>
      <c r="CO250" s="4332"/>
      <c r="CP250" s="1649"/>
      <c r="CQ250" s="1631"/>
      <c r="CR250" s="1631" t="str">
        <f>IF(T250="","",T250)</f>
        <v>Добавить наименование признака дифференциации</v>
      </c>
      <c r="CS250" s="1631"/>
      <c r="CT250" s="1631"/>
      <c r="CU250" s="1642">
        <v>0</v>
      </c>
    </row>
    <row s="629" customFormat="1" customHeight="1" ht="14.25">
      <c r="A251" s="1350"/>
      <c r="B251" s="1350"/>
      <c r="C251" s="1350"/>
      <c r="D251" s="1350"/>
      <c r="E251" s="2266"/>
      <c r="F251" s="2265" t="s">
        <v>190</v>
      </c>
      <c r="G251" s="1350"/>
      <c r="H251" s="1350"/>
      <c r="I251" s="1350"/>
      <c r="J251" s="1350"/>
      <c r="K251" s="1350"/>
      <c r="L251" s="1552"/>
      <c r="M251" s="1328"/>
      <c r="N251" s="1328"/>
      <c r="O251" s="1649"/>
      <c r="P251" s="1323"/>
      <c r="Q251" s="1351"/>
      <c r="R251" s="1323"/>
      <c r="S251" s="1329"/>
      <c r="T251" s="1332" t="s">
        <v>316</v>
      </c>
      <c r="U251" s="1331"/>
      <c r="V251" s="1331"/>
      <c r="W251" s="1331"/>
      <c r="X251" s="1331"/>
      <c r="Y251" s="1331"/>
      <c r="Z251" s="1331"/>
      <c r="AA251" s="1331"/>
      <c r="AB251" s="1331"/>
      <c r="AC251" s="1331"/>
      <c r="AD251" s="1331"/>
      <c r="AE251" s="1331"/>
      <c r="AF251" s="1331"/>
      <c r="AG251" s="1331"/>
      <c r="AH251" s="1331"/>
      <c r="AI251" s="1331"/>
      <c r="AJ251" s="1331"/>
      <c r="AK251" s="1331"/>
      <c r="AL251" s="1331"/>
      <c r="AM251" s="1331"/>
      <c r="AN251" s="1331"/>
      <c r="AO251" s="1331"/>
      <c r="AP251" s="1331"/>
      <c r="AQ251" s="1331"/>
      <c r="AR251" s="1331"/>
      <c r="AS251" s="1331"/>
      <c r="AT251" s="1331"/>
      <c r="AU251" s="1331"/>
      <c r="AV251" s="1331"/>
      <c r="AW251" s="1331"/>
      <c r="AX251" s="1331"/>
      <c r="AY251" s="1331"/>
      <c r="AZ251" s="1331"/>
      <c r="BA251" s="1331"/>
      <c r="BB251" s="1331"/>
      <c r="BC251" s="1331"/>
      <c r="BD251" s="1331"/>
      <c r="BE251" s="1331"/>
      <c r="BF251" s="1331"/>
      <c r="BG251" s="1331"/>
      <c r="BH251" s="1331"/>
      <c r="BI251" s="1331"/>
      <c r="BJ251" s="1331"/>
      <c r="BK251" s="1331"/>
      <c r="BL251" s="1331"/>
      <c r="BM251" s="1331"/>
      <c r="BN251" s="1331"/>
      <c r="BO251" s="1331"/>
      <c r="BP251" s="1331"/>
      <c r="BQ251" s="1331"/>
      <c r="BR251" s="1331"/>
      <c r="BS251" s="1331"/>
      <c r="BT251" s="1331"/>
      <c r="BU251" s="1331"/>
      <c r="BV251" s="1331"/>
      <c r="BW251" s="1331"/>
      <c r="BX251" s="1331"/>
      <c r="BY251" s="1331"/>
      <c r="BZ251" s="1331"/>
      <c r="CA251" s="1331"/>
      <c r="CB251" s="1331"/>
      <c r="CC251" s="1331"/>
      <c r="CD251" s="1331"/>
      <c r="CE251" s="1331"/>
      <c r="CF251" s="1331"/>
      <c r="CG251" s="1331"/>
      <c r="CH251" s="1331"/>
      <c r="CI251" s="1331"/>
      <c r="CJ251" s="1331"/>
      <c r="CK251" s="1331"/>
      <c r="CL251" s="1331"/>
      <c r="CM251" s="1331"/>
      <c r="CN251" s="1331"/>
      <c r="CO251" s="1331"/>
      <c r="CP251" s="1649"/>
      <c r="CQ251" s="1631"/>
      <c r="CR251" s="1631" t="str">
        <f>IF(T251="","",T251)</f>
        <v>Добавить централизованную систему для дифференциации</v>
      </c>
      <c r="CS251" s="1631"/>
      <c r="CT251" s="1631"/>
      <c r="CU251" s="1649">
        <v>0</v>
      </c>
    </row>
    <row s="1649" customFormat="1" customHeight="1" ht="0">
      <c r="A252" s="1350" t="s">
        <v>313</v>
      </c>
      <c r="B252" s="1350"/>
      <c r="C252" s="1350"/>
      <c r="D252" s="1350"/>
      <c r="E252" s="2265"/>
      <c r="F252" s="1350"/>
      <c r="G252" s="1350"/>
      <c r="H252" s="1350"/>
      <c r="I252" s="1350"/>
      <c r="J252" s="1350"/>
      <c r="K252" s="1350"/>
      <c r="L252" s="1353"/>
      <c r="M252" s="1328"/>
      <c r="N252" s="1328"/>
      <c r="O252" s="525"/>
      <c r="P252" s="387"/>
      <c r="Q252" s="1351"/>
      <c r="R252" s="387"/>
      <c r="S252" s="1329"/>
      <c r="T252" s="1332" t="s">
        <v>390</v>
      </c>
      <c r="U252" s="1331"/>
      <c r="V252" s="1331"/>
      <c r="W252" s="1331"/>
      <c r="X252" s="1331"/>
      <c r="Y252" s="1331"/>
      <c r="Z252" s="1331"/>
      <c r="AA252" s="1331"/>
      <c r="AB252" s="1331"/>
      <c r="AC252" s="1331"/>
      <c r="AD252" s="1331"/>
      <c r="AE252" s="1331"/>
      <c r="AF252" s="1331"/>
      <c r="AG252" s="1331"/>
      <c r="AH252" s="1331"/>
      <c r="AI252" s="1331"/>
      <c r="AJ252" s="1331"/>
      <c r="AK252" s="1331"/>
      <c r="AL252" s="1331"/>
      <c r="AM252" s="1331"/>
      <c r="AN252" s="1331"/>
      <c r="AO252" s="1331"/>
      <c r="AP252" s="1331"/>
      <c r="AQ252" s="1331"/>
      <c r="AR252" s="1331"/>
      <c r="AS252" s="1331"/>
      <c r="AT252" s="1331"/>
      <c r="AU252" s="1331"/>
      <c r="AV252" s="1331"/>
      <c r="AW252" s="1331"/>
      <c r="AX252" s="1331"/>
      <c r="AY252" s="1331"/>
      <c r="AZ252" s="1331"/>
      <c r="BA252" s="1331"/>
      <c r="BB252" s="1331"/>
      <c r="BC252" s="1331"/>
      <c r="BD252" s="1331"/>
      <c r="BE252" s="1331"/>
      <c r="BF252" s="1331"/>
      <c r="BG252" s="1331"/>
      <c r="BH252" s="1331"/>
      <c r="BI252" s="1331"/>
      <c r="BJ252" s="1331"/>
      <c r="BK252" s="1331"/>
      <c r="BL252" s="1331"/>
      <c r="BM252" s="1331"/>
      <c r="BN252" s="1331"/>
      <c r="BO252" s="1331"/>
      <c r="BP252" s="1331"/>
      <c r="BQ252" s="1331"/>
      <c r="BR252" s="1331"/>
      <c r="BS252" s="1331"/>
      <c r="BT252" s="1331"/>
      <c r="BU252" s="1331"/>
      <c r="BV252" s="1331"/>
      <c r="BW252" s="1331"/>
      <c r="BX252" s="1331"/>
      <c r="BY252" s="1331"/>
      <c r="BZ252" s="1331"/>
      <c r="CA252" s="1331"/>
      <c r="CB252" s="1331"/>
      <c r="CC252" s="1331"/>
      <c r="CD252" s="1331"/>
      <c r="CE252" s="1331"/>
      <c r="CF252" s="1331"/>
      <c r="CG252" s="1331"/>
      <c r="CH252" s="1331"/>
      <c r="CI252" s="1331"/>
      <c r="CJ252" s="1331"/>
      <c r="CK252" s="1331"/>
      <c r="CL252" s="1331"/>
      <c r="CM252" s="1331"/>
      <c r="CN252" s="1331"/>
      <c r="CO252" s="1331"/>
      <c r="CQ252" s="507"/>
      <c r="CR252" s="507" t="str">
        <f>IF(T252="","",T252)</f>
        <v>Добавить территорию для дифференциации</v>
      </c>
      <c r="CS252" s="507"/>
      <c r="CT252" s="507"/>
      <c r="CU252" s="518">
        <v>0</v>
      </c>
    </row>
    <row s="1649" customFormat="1" customHeight="1" ht="0">
      <c r="A253" s="1321"/>
      <c r="B253" s="1321"/>
      <c r="C253" s="1321"/>
      <c r="D253" s="1321"/>
      <c r="E253" s="1350"/>
      <c r="F253" s="1321"/>
      <c r="G253" s="1321"/>
      <c r="H253" s="1321"/>
      <c r="I253" s="1321"/>
      <c r="J253" s="1321"/>
      <c r="K253" s="1321"/>
      <c r="L253" s="1433"/>
      <c r="M253" s="1328"/>
      <c r="N253" s="1328"/>
      <c r="P253" s="1323"/>
      <c r="Q253" s="1324"/>
      <c r="R253" s="1323"/>
      <c r="S253" s="1329"/>
      <c r="T253" s="1332" t="s">
        <v>391</v>
      </c>
      <c r="U253" s="1331"/>
      <c r="V253" s="1331"/>
      <c r="W253" s="1331"/>
      <c r="X253" s="1331"/>
      <c r="Y253" s="1331"/>
      <c r="Z253" s="1331"/>
      <c r="AA253" s="1331"/>
      <c r="AB253" s="1331"/>
      <c r="AC253" s="1331"/>
      <c r="AD253" s="1331"/>
      <c r="AE253" s="1331"/>
      <c r="AF253" s="1331"/>
      <c r="AG253" s="1331"/>
      <c r="AH253" s="1331"/>
      <c r="AI253" s="1331"/>
      <c r="AJ253" s="1331"/>
      <c r="AK253" s="1331"/>
      <c r="AL253" s="1331"/>
      <c r="AM253" s="1331"/>
      <c r="AN253" s="1331"/>
      <c r="AO253" s="1331"/>
      <c r="AP253" s="1331"/>
      <c r="AQ253" s="1331"/>
      <c r="AR253" s="1331"/>
      <c r="AS253" s="1331"/>
      <c r="AT253" s="1331"/>
      <c r="AU253" s="1331"/>
      <c r="AV253" s="1331"/>
      <c r="AW253" s="1331"/>
      <c r="AX253" s="1331"/>
      <c r="AY253" s="1331"/>
      <c r="AZ253" s="1331"/>
      <c r="BA253" s="1331"/>
      <c r="BB253" s="1331"/>
      <c r="BC253" s="1331"/>
      <c r="BD253" s="1331"/>
      <c r="BE253" s="1331"/>
      <c r="BF253" s="1331"/>
      <c r="BG253" s="1331"/>
      <c r="BH253" s="1331"/>
      <c r="BI253" s="1331"/>
      <c r="BJ253" s="1331"/>
      <c r="BK253" s="1331"/>
      <c r="BL253" s="1331"/>
      <c r="BM253" s="1331"/>
      <c r="BN253" s="1331"/>
      <c r="BO253" s="1331"/>
      <c r="BP253" s="1331"/>
      <c r="BQ253" s="1331"/>
      <c r="BR253" s="1331"/>
      <c r="BS253" s="1331"/>
      <c r="BT253" s="1331"/>
      <c r="BU253" s="1331"/>
      <c r="BV253" s="1331"/>
      <c r="BW253" s="1331"/>
      <c r="BX253" s="1331"/>
      <c r="BY253" s="1331"/>
      <c r="BZ253" s="1331"/>
      <c r="CA253" s="1331"/>
      <c r="CB253" s="1331"/>
      <c r="CC253" s="1331"/>
      <c r="CD253" s="1331"/>
      <c r="CE253" s="1331"/>
      <c r="CF253" s="1331"/>
      <c r="CG253" s="1331"/>
      <c r="CH253" s="1331"/>
      <c r="CI253" s="1331"/>
      <c r="CJ253" s="1331"/>
      <c r="CK253" s="1331"/>
      <c r="CL253" s="1331"/>
      <c r="CM253" s="1331"/>
      <c r="CN253" s="1331"/>
      <c r="CO253" s="1331"/>
      <c r="CQ253" s="796"/>
      <c r="CR253" s="796" t="str">
        <f>IF(T253="","",T253)</f>
        <v>Добавить наименование тарифа</v>
      </c>
      <c r="CS253" s="796"/>
      <c r="CT253" s="796"/>
      <c r="CU253" s="525">
        <v>0</v>
      </c>
    </row>
    <row customHeight="1" ht="11.549999999999999">
      <c r="M254" s="1167"/>
      <c r="N254" s="1167"/>
      <c r="O254" s="544"/>
      <c r="P254" s="1162"/>
      <c r="Q254" s="1162"/>
      <c r="R254" s="1162"/>
      <c r="S254" s="1162"/>
      <c r="AJ254" s="1642"/>
      <c r="AK254" s="1642"/>
      <c r="AL254" s="1642"/>
      <c r="AM254" s="1642"/>
      <c r="AN254" s="1642"/>
      <c r="AO254" s="1642"/>
      <c r="AP254" s="1642"/>
      <c r="AQ254" s="1642"/>
      <c r="AR254" s="1642"/>
      <c r="AS254" s="1642"/>
      <c r="AT254" s="1642"/>
      <c r="AU254" s="1642"/>
      <c r="AV254" s="1642"/>
      <c r="AW254" s="1642"/>
      <c r="AX254" s="1642"/>
      <c r="AY254" s="1642"/>
      <c r="AZ254" s="1642"/>
      <c r="BA254" s="1642"/>
      <c r="BB254" s="1642"/>
      <c r="BC254" s="1642"/>
      <c r="BD254" s="1642"/>
      <c r="BE254" s="1642"/>
      <c r="BF254" s="1642"/>
      <c r="BG254" s="1642"/>
      <c r="BH254" s="1642"/>
      <c r="BI254" s="1642"/>
      <c r="BJ254" s="1642"/>
      <c r="BK254" s="1642"/>
      <c r="BL254" s="1642"/>
      <c r="BM254" s="1642"/>
      <c r="BN254" s="1642"/>
      <c r="BO254" s="1642"/>
      <c r="BP254" s="1642"/>
      <c r="BQ254" s="1642"/>
      <c r="BR254" s="1642"/>
      <c r="BS254" s="1642"/>
      <c r="BT254" s="1642"/>
      <c r="BU254" s="1642"/>
      <c r="BV254" s="1642"/>
      <c r="BW254" s="1642"/>
      <c r="BX254" s="1642"/>
      <c r="BY254" s="1642"/>
      <c r="BZ254" s="1642"/>
      <c r="CA254" s="1642"/>
      <c r="CB254" s="1642"/>
      <c r="CC254" s="1642"/>
      <c r="CD254" s="1642"/>
      <c r="CE254" s="1642"/>
      <c r="CF254" s="1642"/>
      <c r="CG254" s="1642"/>
      <c r="CH254" s="1642"/>
      <c r="CI254" s="1642"/>
      <c r="CJ254" s="1642"/>
      <c r="CK254" s="1642"/>
      <c r="CL254" s="1642"/>
      <c r="CM254" s="4489"/>
      <c r="CP254" s="1162"/>
      <c r="CQ254" s="1162"/>
      <c r="CR254" s="1162"/>
      <c r="CS254" s="1162"/>
      <c r="CT254" s="1162"/>
      <c r="CU254" s="1162">
        <v>11</v>
      </c>
    </row>
    <row customHeight="1" ht="14.699999999999998">
      <c r="O255" s="544"/>
      <c r="S255" s="1260"/>
      <c r="T255" s="2292"/>
      <c r="U255" s="2292"/>
      <c r="V255" s="2292"/>
      <c r="W255" s="2292"/>
      <c r="X255" s="2292"/>
      <c r="Y255" s="2292"/>
      <c r="Z255" s="2292"/>
      <c r="AA255" s="2292"/>
      <c r="AB255" s="2292"/>
      <c r="AC255" s="2292"/>
      <c r="AD255" s="2292"/>
      <c r="AE255" s="2292"/>
      <c r="AF255" s="2292"/>
      <c r="AG255" s="2292"/>
      <c r="AH255" s="2292"/>
      <c r="AI255" s="2292"/>
      <c r="AJ255" s="2392"/>
      <c r="AK255" s="2392"/>
      <c r="AL255" s="2392"/>
      <c r="AM255" s="2392"/>
      <c r="AN255" s="2392"/>
      <c r="AO255" s="2392"/>
      <c r="AP255" s="2392"/>
      <c r="AQ255" s="2392"/>
      <c r="AR255" s="2392"/>
      <c r="AS255" s="2392"/>
      <c r="AT255" s="2392"/>
      <c r="AU255" s="2392"/>
      <c r="AV255" s="2392"/>
      <c r="AW255" s="2392"/>
      <c r="AX255" s="2392"/>
      <c r="AY255" s="2392"/>
      <c r="AZ255" s="2392"/>
      <c r="BA255" s="2392"/>
      <c r="BB255" s="2392"/>
      <c r="BC255" s="2392"/>
      <c r="BD255" s="2392"/>
      <c r="BE255" s="2392"/>
      <c r="BF255" s="2392"/>
      <c r="BG255" s="2392"/>
      <c r="BH255" s="2392"/>
      <c r="BI255" s="2392"/>
      <c r="BJ255" s="2392"/>
      <c r="BK255" s="2392"/>
      <c r="BL255" s="2392"/>
      <c r="BM255" s="2392"/>
      <c r="BN255" s="2392"/>
      <c r="BO255" s="2392"/>
      <c r="BP255" s="2392"/>
      <c r="BQ255" s="2392"/>
      <c r="BR255" s="2392"/>
      <c r="BS255" s="2392"/>
      <c r="BT255" s="2392"/>
      <c r="BU255" s="2392"/>
      <c r="BV255" s="2392"/>
      <c r="BW255" s="2392"/>
      <c r="BX255" s="2392"/>
      <c r="BY255" s="2392"/>
      <c r="BZ255" s="2392"/>
      <c r="CA255" s="2392"/>
      <c r="CB255" s="2392"/>
      <c r="CC255" s="2392"/>
      <c r="CD255" s="2392"/>
      <c r="CE255" s="2392"/>
      <c r="CF255" s="2392"/>
      <c r="CG255" s="2392"/>
      <c r="CH255" s="2392"/>
      <c r="CI255" s="2392"/>
      <c r="CJ255" s="2392"/>
      <c r="CK255" s="2392"/>
      <c r="CL255" s="2392"/>
      <c r="CM255" s="4830"/>
      <c r="CN255" s="2292"/>
      <c r="CO255" s="2292"/>
      <c r="CU255" s="1162">
        <v>14</v>
      </c>
    </row>
    <row customHeight="1" ht="14.699999999999998">
      <c r="O256" s="544"/>
      <c r="AJ256" s="1642"/>
      <c r="AK256" s="1642"/>
      <c r="AL256" s="1642"/>
      <c r="AM256" s="1642"/>
      <c r="AN256" s="1642"/>
      <c r="AO256" s="1642"/>
      <c r="AP256" s="1642"/>
      <c r="AQ256" s="1642"/>
      <c r="AR256" s="1642"/>
      <c r="AS256" s="1642"/>
      <c r="AT256" s="1642"/>
      <c r="AU256" s="1642"/>
      <c r="AV256" s="1642"/>
      <c r="AW256" s="1642"/>
      <c r="AX256" s="1642"/>
      <c r="AY256" s="1642"/>
      <c r="AZ256" s="1642"/>
      <c r="BA256" s="1642"/>
      <c r="BB256" s="1642"/>
      <c r="BC256" s="1642"/>
      <c r="BD256" s="1642"/>
      <c r="BE256" s="1642"/>
      <c r="BF256" s="1642"/>
      <c r="BG256" s="1642"/>
      <c r="BH256" s="1642"/>
      <c r="BI256" s="1642"/>
      <c r="BJ256" s="1642"/>
      <c r="BK256" s="1642"/>
      <c r="BL256" s="1642"/>
      <c r="BM256" s="1642"/>
      <c r="BN256" s="1642"/>
      <c r="BO256" s="1642"/>
      <c r="BP256" s="1642"/>
      <c r="BQ256" s="1642"/>
      <c r="BR256" s="1642"/>
      <c r="BS256" s="1642"/>
      <c r="BT256" s="1642"/>
      <c r="BU256" s="1642"/>
      <c r="BV256" s="1642"/>
      <c r="BW256" s="1642"/>
      <c r="BX256" s="1642"/>
      <c r="BY256" s="1642"/>
      <c r="BZ256" s="1642"/>
      <c r="CA256" s="1642"/>
      <c r="CB256" s="1642"/>
      <c r="CC256" s="1642"/>
      <c r="CD256" s="1642"/>
      <c r="CE256" s="1642"/>
      <c r="CF256" s="1642"/>
      <c r="CG256" s="1642"/>
      <c r="CH256" s="1642"/>
      <c r="CI256" s="1642"/>
      <c r="CJ256" s="1642"/>
      <c r="CK256" s="1642"/>
      <c r="CL256" s="1642"/>
      <c r="CM256" s="4489"/>
      <c r="CU256" s="1162">
        <v>14</v>
      </c>
    </row>
    <row customHeight="1" ht="14.699999999999998">
      <c r="O257" s="544"/>
      <c r="S257" s="1260"/>
      <c r="T257" s="2292"/>
      <c r="U257" s="2292"/>
      <c r="V257" s="2292"/>
      <c r="W257" s="2292"/>
      <c r="X257" s="2292"/>
      <c r="Y257" s="2292"/>
      <c r="Z257" s="2292"/>
      <c r="AA257" s="2292"/>
      <c r="AB257" s="2292"/>
      <c r="AC257" s="2292"/>
      <c r="AD257" s="2292"/>
      <c r="AE257" s="2292"/>
      <c r="AF257" s="2292"/>
      <c r="AG257" s="2292"/>
      <c r="AH257" s="2292"/>
      <c r="AI257" s="2292"/>
      <c r="AJ257" s="2392"/>
      <c r="AK257" s="2392"/>
      <c r="AL257" s="2392"/>
      <c r="AM257" s="2392"/>
      <c r="AN257" s="2392"/>
      <c r="AO257" s="2392"/>
      <c r="AP257" s="2392"/>
      <c r="AQ257" s="2392"/>
      <c r="AR257" s="2392"/>
      <c r="AS257" s="2392"/>
      <c r="AT257" s="2392"/>
      <c r="AU257" s="2392"/>
      <c r="AV257" s="2392"/>
      <c r="AW257" s="2392"/>
      <c r="AX257" s="2392"/>
      <c r="AY257" s="2392"/>
      <c r="AZ257" s="2392"/>
      <c r="BA257" s="2392"/>
      <c r="BB257" s="2392"/>
      <c r="BC257" s="2392"/>
      <c r="BD257" s="2392"/>
      <c r="BE257" s="2392"/>
      <c r="BF257" s="2392"/>
      <c r="BG257" s="2392"/>
      <c r="BH257" s="2392"/>
      <c r="BI257" s="2392"/>
      <c r="BJ257" s="2392"/>
      <c r="BK257" s="2392"/>
      <c r="BL257" s="2392"/>
      <c r="BM257" s="2392"/>
      <c r="BN257" s="2392"/>
      <c r="BO257" s="2392"/>
      <c r="BP257" s="2392"/>
      <c r="BQ257" s="2392"/>
      <c r="BR257" s="2392"/>
      <c r="BS257" s="2392"/>
      <c r="BT257" s="2392"/>
      <c r="BU257" s="2392"/>
      <c r="BV257" s="2392"/>
      <c r="BW257" s="2392"/>
      <c r="BX257" s="2392"/>
      <c r="BY257" s="2392"/>
      <c r="BZ257" s="2392"/>
      <c r="CA257" s="2392"/>
      <c r="CB257" s="2392"/>
      <c r="CC257" s="2392"/>
      <c r="CD257" s="2392"/>
      <c r="CE257" s="2392"/>
      <c r="CF257" s="2392"/>
      <c r="CG257" s="2392"/>
      <c r="CH257" s="2392"/>
      <c r="CI257" s="2392"/>
      <c r="CJ257" s="2392"/>
      <c r="CK257" s="2392"/>
      <c r="CL257" s="2392"/>
      <c r="CM257" s="4830"/>
      <c r="CN257" s="2292"/>
      <c r="CO257" s="2292"/>
      <c r="CU257" s="1162">
        <v>14</v>
      </c>
    </row>
    <row customHeight="1" ht="22.5" hidden="1">
      <c r="A258" s="1167" t="s">
        <v>82</v>
      </c>
      <c r="B258" s="1167">
        <v>0</v>
      </c>
      <c r="C258" s="1167">
        <v>0</v>
      </c>
      <c r="D258" s="1167">
        <v>0</v>
      </c>
      <c r="E258" s="1167">
        <v>0</v>
      </c>
      <c r="F258" s="1167">
        <v>0</v>
      </c>
      <c r="G258" s="1167">
        <v>0</v>
      </c>
      <c r="H258" s="1167">
        <v>0</v>
      </c>
      <c r="I258" s="1167">
        <v>0</v>
      </c>
      <c r="J258" s="1167">
        <v>0</v>
      </c>
      <c r="K258" s="1167">
        <v>0</v>
      </c>
      <c r="L258" s="1428">
        <v>0</v>
      </c>
      <c r="M258" s="1369">
        <v>0</v>
      </c>
      <c r="N258" s="1369">
        <v>0</v>
      </c>
      <c r="O258" s="1369">
        <v>0</v>
      </c>
      <c r="P258" s="1358">
        <v>3</v>
      </c>
      <c r="Q258" s="351">
        <v>3</v>
      </c>
      <c r="R258" s="351">
        <v>3</v>
      </c>
      <c r="S258" s="588">
        <v>12</v>
      </c>
      <c r="T258" s="1162">
        <v>35</v>
      </c>
      <c r="U258" s="1162">
        <v>0</v>
      </c>
      <c r="V258" s="1162">
        <v>0</v>
      </c>
      <c r="W258" s="1162">
        <v>0</v>
      </c>
      <c r="X258" s="1162">
        <v>0</v>
      </c>
      <c r="Y258" s="1162">
        <v>0</v>
      </c>
      <c r="Z258" s="1162">
        <v>0</v>
      </c>
      <c r="AA258" s="1162">
        <v>0</v>
      </c>
      <c r="AB258" s="1162">
        <v>0</v>
      </c>
      <c r="AC258" s="1162">
        <v>24</v>
      </c>
      <c r="AD258" s="1162">
        <v>24</v>
      </c>
      <c r="AE258" s="1162">
        <v>24</v>
      </c>
      <c r="AF258" s="1162">
        <v>11</v>
      </c>
      <c r="AG258" s="1162">
        <v>3</v>
      </c>
      <c r="AH258" s="1162">
        <v>11</v>
      </c>
      <c r="AI258" s="1162">
        <v>0</v>
      </c>
      <c r="AJ258" s="1642">
        <v>0</v>
      </c>
      <c r="AK258" s="1642">
        <v>0</v>
      </c>
      <c r="AL258" s="1642">
        <v>0</v>
      </c>
      <c r="AM258" s="1642">
        <v>0</v>
      </c>
      <c r="AN258" s="1642">
        <v>0</v>
      </c>
      <c r="AO258" s="1642">
        <v>0</v>
      </c>
      <c r="AP258" s="1642">
        <v>0</v>
      </c>
      <c r="AQ258" s="1642">
        <v>0</v>
      </c>
      <c r="AR258" s="1642">
        <v>0</v>
      </c>
      <c r="AS258" s="1642">
        <v>0</v>
      </c>
      <c r="AT258" s="1642">
        <v>0</v>
      </c>
      <c r="AU258" s="1642">
        <v>0</v>
      </c>
      <c r="AV258" s="1642">
        <v>0</v>
      </c>
      <c r="AW258" s="1642">
        <v>0</v>
      </c>
      <c r="AX258" s="1642">
        <v>0</v>
      </c>
      <c r="AY258" s="1642">
        <v>0</v>
      </c>
      <c r="AZ258" s="1642">
        <v>0</v>
      </c>
      <c r="BA258" s="1642">
        <v>0</v>
      </c>
      <c r="BB258" s="1642">
        <v>0</v>
      </c>
      <c r="BC258" s="1642">
        <v>0</v>
      </c>
      <c r="BD258" s="1642">
        <v>0</v>
      </c>
      <c r="BE258" s="1642">
        <v>0</v>
      </c>
      <c r="BF258" s="1642">
        <v>0</v>
      </c>
      <c r="BG258" s="1642">
        <v>0</v>
      </c>
      <c r="BH258" s="1642">
        <v>0</v>
      </c>
      <c r="BI258" s="1642">
        <v>0</v>
      </c>
      <c r="BJ258" s="1642">
        <v>0</v>
      </c>
      <c r="BK258" s="1642">
        <v>0</v>
      </c>
      <c r="BL258" s="1642">
        <v>0</v>
      </c>
      <c r="BM258" s="1642">
        <v>0</v>
      </c>
      <c r="BN258" s="1642">
        <v>0</v>
      </c>
      <c r="BO258" s="1642">
        <v>0</v>
      </c>
      <c r="BP258" s="1642">
        <v>0</v>
      </c>
      <c r="BQ258" s="1642">
        <v>0</v>
      </c>
      <c r="BR258" s="1642">
        <v>0</v>
      </c>
      <c r="BS258" s="1642">
        <v>0</v>
      </c>
      <c r="BT258" s="1642">
        <v>0</v>
      </c>
      <c r="BU258" s="1642">
        <v>0</v>
      </c>
      <c r="BV258" s="1642">
        <v>0</v>
      </c>
      <c r="BW258" s="1642">
        <v>0</v>
      </c>
      <c r="BX258" s="1642">
        <v>0</v>
      </c>
      <c r="BY258" s="1642">
        <v>0</v>
      </c>
      <c r="BZ258" s="1642">
        <v>0</v>
      </c>
      <c r="CA258" s="1642">
        <v>0</v>
      </c>
      <c r="CB258" s="1642">
        <v>0</v>
      </c>
      <c r="CC258" s="1642">
        <v>0</v>
      </c>
      <c r="CD258" s="1642">
        <v>0</v>
      </c>
      <c r="CE258" s="1642">
        <v>0</v>
      </c>
      <c r="CF258" s="1642">
        <v>0</v>
      </c>
      <c r="CG258" s="1642">
        <v>0</v>
      </c>
      <c r="CH258" s="1642">
        <v>0</v>
      </c>
      <c r="CI258" s="1642">
        <v>0</v>
      </c>
      <c r="CJ258" s="1642">
        <v>0</v>
      </c>
      <c r="CK258" s="1642">
        <v>0</v>
      </c>
      <c r="CL258" s="1642">
        <v>0</v>
      </c>
      <c r="CM258" s="4489">
        <v>0</v>
      </c>
      <c r="CN258" s="1162">
        <v>4</v>
      </c>
      <c r="CO258" s="1162">
        <v>115</v>
      </c>
      <c r="CP258" s="518">
        <v>10</v>
      </c>
      <c r="CQ258" s="518">
        <v>10</v>
      </c>
      <c r="CR258" s="518">
        <v>10</v>
      </c>
      <c r="CS258" s="518">
        <v>10</v>
      </c>
      <c r="CT258" s="518">
        <v>10</v>
      </c>
      <c r="CU258" s="1162">
        <v>23</v>
      </c>
    </row>
  </sheetData>
  <sheetProtection formatColumns="0" formatRows="0" autoFilter="0" sort="0" insertRows="0" insertColumns="1" deleteRows="0" deleteColumns="0"/>
  <mergeCells count="1409">
    <mergeCell ref="E2:E13"/>
    <mergeCell ref="V2:AB2"/>
    <mergeCell ref="AC2:CN2"/>
    <mergeCell ref="F3:F12"/>
    <mergeCell ref="V3:AB3"/>
    <mergeCell ref="AC3:CN3"/>
    <mergeCell ref="G4:G11"/>
    <mergeCell ref="V4:AB4"/>
    <mergeCell ref="AC4:CN4"/>
    <mergeCell ref="H5:H11"/>
    <mergeCell ref="AI7:AI8"/>
    <mergeCell ref="K7:K8"/>
    <mergeCell ref="Y7:Y8"/>
    <mergeCell ref="Z7:Z8"/>
    <mergeCell ref="AA7:AA8"/>
    <mergeCell ref="AB7:AB8"/>
    <mergeCell ref="I5:I10"/>
    <mergeCell ref="P5:P10"/>
    <mergeCell ref="V5:AB5"/>
    <mergeCell ref="AC5:CN5"/>
    <mergeCell ref="J6:J9"/>
    <mergeCell ref="Q6:Q9"/>
    <mergeCell ref="V6:AB6"/>
    <mergeCell ref="AC6:CN6"/>
    <mergeCell ref="CO7:CO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CN36"/>
    <mergeCell ref="CO36:CO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CN37:CN39"/>
    <mergeCell ref="W38:X38"/>
    <mergeCell ref="E41:E252"/>
    <mergeCell ref="V41:AB41"/>
    <mergeCell ref="AC41:CN41"/>
    <mergeCell ref="F42:F51"/>
    <mergeCell ref="V42:AB42"/>
    <mergeCell ref="AC42:CN42"/>
    <mergeCell ref="G43:G50"/>
    <mergeCell ref="Y38:AA38"/>
    <mergeCell ref="AD38:AE38"/>
    <mergeCell ref="AF38:AH38"/>
    <mergeCell ref="Z39:AA39"/>
    <mergeCell ref="H44:H50"/>
    <mergeCell ref="I44:I49"/>
    <mergeCell ref="P44:P49"/>
    <mergeCell ref="V44:AB44"/>
    <mergeCell ref="AC44:CN44"/>
    <mergeCell ref="J45:J48"/>
    <mergeCell ref="AG39:AH39"/>
    <mergeCell ref="Z40:AA40"/>
    <mergeCell ref="AG40:AH40"/>
    <mergeCell ref="K46:K47"/>
    <mergeCell ref="V43:AB43"/>
    <mergeCell ref="AC43:CN43"/>
    <mergeCell ref="T255:CO255"/>
    <mergeCell ref="T257:CO257"/>
    <mergeCell ref="Q45:Q48"/>
    <mergeCell ref="V45:AB45"/>
    <mergeCell ref="AC45:CN45"/>
    <mergeCell ref="AF46:AF47"/>
    <mergeCell ref="AG46:AG47"/>
    <mergeCell ref="CO46:CO47"/>
    <mergeCell ref="AH46:AH47"/>
    <mergeCell ref="AI46:AI47"/>
    <mergeCell ref="F52:F61"/>
    <mergeCell ref="V52:AB52"/>
    <mergeCell ref="AC52:CN52"/>
    <mergeCell ref="G53:G60"/>
    <mergeCell ref="V53:AB53"/>
    <mergeCell ref="AC53:CN53"/>
    <mergeCell ref="H54:H60"/>
    <mergeCell ref="AI56:AI57"/>
    <mergeCell ref="K56:K57"/>
    <mergeCell ref="Y56:Y57"/>
    <mergeCell ref="Z56:Z57"/>
    <mergeCell ref="AA56:AA57"/>
    <mergeCell ref="AB56:AB57"/>
    <mergeCell ref="I54:I59"/>
    <mergeCell ref="P54:P59"/>
    <mergeCell ref="V54:AB54"/>
    <mergeCell ref="AC54:CN54"/>
    <mergeCell ref="J55:J58"/>
    <mergeCell ref="Q55:Q58"/>
    <mergeCell ref="V55:AB55"/>
    <mergeCell ref="AC55:CN55"/>
    <mergeCell ref="CO56:CO57"/>
    <mergeCell ref="AG56:AG57"/>
    <mergeCell ref="AH56:AH57"/>
    <mergeCell ref="AF56:AF57"/>
    <mergeCell ref="F62:F71"/>
    <mergeCell ref="V62:AB62"/>
    <mergeCell ref="AC62:CN62"/>
    <mergeCell ref="G63:G70"/>
    <mergeCell ref="V63:AB63"/>
    <mergeCell ref="AC63:CN63"/>
    <mergeCell ref="H64:H70"/>
    <mergeCell ref="AI66:AI67"/>
    <mergeCell ref="K66:K67"/>
    <mergeCell ref="Y66:Y67"/>
    <mergeCell ref="Z66:Z67"/>
    <mergeCell ref="AA66:AA67"/>
    <mergeCell ref="AB66:AB67"/>
    <mergeCell ref="I64:I69"/>
    <mergeCell ref="P64:P69"/>
    <mergeCell ref="V64:AB64"/>
    <mergeCell ref="AC64:CN64"/>
    <mergeCell ref="J65:J68"/>
    <mergeCell ref="Q65:Q68"/>
    <mergeCell ref="V65:AB65"/>
    <mergeCell ref="AC65:CN65"/>
    <mergeCell ref="CO66:CO67"/>
    <mergeCell ref="AG66:AG67"/>
    <mergeCell ref="AH66:AH67"/>
    <mergeCell ref="AF66:AF67"/>
    <mergeCell ref="F72:F81"/>
    <mergeCell ref="V72:AB72"/>
    <mergeCell ref="AC72:CN72"/>
    <mergeCell ref="G73:G80"/>
    <mergeCell ref="V73:AB73"/>
    <mergeCell ref="AC73:CN73"/>
    <mergeCell ref="H74:H80"/>
    <mergeCell ref="AI76:AI77"/>
    <mergeCell ref="K76:K77"/>
    <mergeCell ref="Y76:Y77"/>
    <mergeCell ref="Z76:Z77"/>
    <mergeCell ref="AA76:AA77"/>
    <mergeCell ref="AB76:AB77"/>
    <mergeCell ref="I74:I79"/>
    <mergeCell ref="P74:P79"/>
    <mergeCell ref="V74:AB74"/>
    <mergeCell ref="AC74:CN74"/>
    <mergeCell ref="J75:J78"/>
    <mergeCell ref="Q75:Q78"/>
    <mergeCell ref="V75:AB75"/>
    <mergeCell ref="AC75:CN75"/>
    <mergeCell ref="CO76:CO77"/>
    <mergeCell ref="AG76:AG77"/>
    <mergeCell ref="AH76:AH77"/>
    <mergeCell ref="AF76:AF77"/>
    <mergeCell ref="F82:F91"/>
    <mergeCell ref="V82:AB82"/>
    <mergeCell ref="AC82:CN82"/>
    <mergeCell ref="G83:G90"/>
    <mergeCell ref="V83:AB83"/>
    <mergeCell ref="AC83:CN83"/>
    <mergeCell ref="H84:H90"/>
    <mergeCell ref="AI86:AI87"/>
    <mergeCell ref="K86:K87"/>
    <mergeCell ref="Y86:Y87"/>
    <mergeCell ref="Z86:Z87"/>
    <mergeCell ref="AA86:AA87"/>
    <mergeCell ref="AB86:AB87"/>
    <mergeCell ref="I84:I89"/>
    <mergeCell ref="P84:P89"/>
    <mergeCell ref="V84:AB84"/>
    <mergeCell ref="AC84:CN84"/>
    <mergeCell ref="J85:J88"/>
    <mergeCell ref="Q85:Q88"/>
    <mergeCell ref="V85:AB85"/>
    <mergeCell ref="AC85:CN85"/>
    <mergeCell ref="CO86:CO87"/>
    <mergeCell ref="AG86:AG87"/>
    <mergeCell ref="AH86:AH87"/>
    <mergeCell ref="AF86:AF87"/>
    <mergeCell ref="F92:F101"/>
    <mergeCell ref="V92:AB92"/>
    <mergeCell ref="AC92:CN92"/>
    <mergeCell ref="G93:G100"/>
    <mergeCell ref="V93:AB93"/>
    <mergeCell ref="AC93:CN93"/>
    <mergeCell ref="H94:H100"/>
    <mergeCell ref="AI96:AI97"/>
    <mergeCell ref="K96:K97"/>
    <mergeCell ref="Y96:Y97"/>
    <mergeCell ref="Z96:Z97"/>
    <mergeCell ref="AA96:AA97"/>
    <mergeCell ref="AB96:AB97"/>
    <mergeCell ref="I94:I99"/>
    <mergeCell ref="P94:P99"/>
    <mergeCell ref="V94:AB94"/>
    <mergeCell ref="AC94:CN94"/>
    <mergeCell ref="J95:J98"/>
    <mergeCell ref="Q95:Q98"/>
    <mergeCell ref="V95:AB95"/>
    <mergeCell ref="AC95:CN95"/>
    <mergeCell ref="CO96:CO97"/>
    <mergeCell ref="AG96:AG97"/>
    <mergeCell ref="AH96:AH97"/>
    <mergeCell ref="AF96:AF97"/>
    <mergeCell ref="F102:F111"/>
    <mergeCell ref="V102:AB102"/>
    <mergeCell ref="AC102:CN102"/>
    <mergeCell ref="G103:G110"/>
    <mergeCell ref="V103:AB103"/>
    <mergeCell ref="AC103:CN103"/>
    <mergeCell ref="H104:H110"/>
    <mergeCell ref="AI106:AI107"/>
    <mergeCell ref="K106:K107"/>
    <mergeCell ref="Y106:Y107"/>
    <mergeCell ref="Z106:Z107"/>
    <mergeCell ref="AA106:AA107"/>
    <mergeCell ref="AB106:AB107"/>
    <mergeCell ref="I104:I109"/>
    <mergeCell ref="P104:P109"/>
    <mergeCell ref="V104:AB104"/>
    <mergeCell ref="AC104:CN104"/>
    <mergeCell ref="J105:J108"/>
    <mergeCell ref="Q105:Q108"/>
    <mergeCell ref="V105:AB105"/>
    <mergeCell ref="AC105:CN105"/>
    <mergeCell ref="CO106:CO107"/>
    <mergeCell ref="AG106:AG107"/>
    <mergeCell ref="AH106:AH107"/>
    <mergeCell ref="AF106:AF107"/>
    <mergeCell ref="F112:F121"/>
    <mergeCell ref="V112:AB112"/>
    <mergeCell ref="AC112:CN112"/>
    <mergeCell ref="G113:G120"/>
    <mergeCell ref="V113:AB113"/>
    <mergeCell ref="AC113:CN113"/>
    <mergeCell ref="H114:H120"/>
    <mergeCell ref="AI116:AI117"/>
    <mergeCell ref="K116:K117"/>
    <mergeCell ref="Y116:Y117"/>
    <mergeCell ref="Z116:Z117"/>
    <mergeCell ref="AA116:AA117"/>
    <mergeCell ref="AB116:AB117"/>
    <mergeCell ref="I114:I119"/>
    <mergeCell ref="P114:P119"/>
    <mergeCell ref="V114:AB114"/>
    <mergeCell ref="AC114:CN114"/>
    <mergeCell ref="J115:J118"/>
    <mergeCell ref="Q115:Q118"/>
    <mergeCell ref="V115:AB115"/>
    <mergeCell ref="AC115:CN115"/>
    <mergeCell ref="CO116:CO117"/>
    <mergeCell ref="AG116:AG117"/>
    <mergeCell ref="AH116:AH117"/>
    <mergeCell ref="AF116:AF117"/>
    <mergeCell ref="F122:F131"/>
    <mergeCell ref="V122:AB122"/>
    <mergeCell ref="AC122:CN122"/>
    <mergeCell ref="G123:G130"/>
    <mergeCell ref="V123:AB123"/>
    <mergeCell ref="AC123:CN123"/>
    <mergeCell ref="H124:H130"/>
    <mergeCell ref="AI126:AI127"/>
    <mergeCell ref="K126:K127"/>
    <mergeCell ref="Y126:Y127"/>
    <mergeCell ref="Z126:Z127"/>
    <mergeCell ref="AA126:AA127"/>
    <mergeCell ref="AB126:AB127"/>
    <mergeCell ref="I124:I129"/>
    <mergeCell ref="P124:P129"/>
    <mergeCell ref="V124:AB124"/>
    <mergeCell ref="AC124:CN124"/>
    <mergeCell ref="J125:J128"/>
    <mergeCell ref="Q125:Q128"/>
    <mergeCell ref="V125:AB125"/>
    <mergeCell ref="AC125:CN125"/>
    <mergeCell ref="CO126:CO127"/>
    <mergeCell ref="AG126:AG127"/>
    <mergeCell ref="AH126:AH127"/>
    <mergeCell ref="AF126:AF127"/>
    <mergeCell ref="F132:F141"/>
    <mergeCell ref="V132:AB132"/>
    <mergeCell ref="AC132:CN132"/>
    <mergeCell ref="G133:G140"/>
    <mergeCell ref="V133:AB133"/>
    <mergeCell ref="AC133:CN133"/>
    <mergeCell ref="H134:H140"/>
    <mergeCell ref="AI136:AI137"/>
    <mergeCell ref="K136:K137"/>
    <mergeCell ref="Y136:Y137"/>
    <mergeCell ref="Z136:Z137"/>
    <mergeCell ref="AA136:AA137"/>
    <mergeCell ref="AB136:AB137"/>
    <mergeCell ref="I134:I139"/>
    <mergeCell ref="P134:P139"/>
    <mergeCell ref="V134:AB134"/>
    <mergeCell ref="AC134:CN134"/>
    <mergeCell ref="J135:J138"/>
    <mergeCell ref="Q135:Q138"/>
    <mergeCell ref="V135:AB135"/>
    <mergeCell ref="AC135:CN135"/>
    <mergeCell ref="CO136:CO137"/>
    <mergeCell ref="AG136:AG137"/>
    <mergeCell ref="AH136:AH137"/>
    <mergeCell ref="AF136:AF137"/>
    <mergeCell ref="F142:F151"/>
    <mergeCell ref="V142:AB142"/>
    <mergeCell ref="AC142:CN142"/>
    <mergeCell ref="G143:G150"/>
    <mergeCell ref="V143:AB143"/>
    <mergeCell ref="AC143:CN143"/>
    <mergeCell ref="H144:H150"/>
    <mergeCell ref="AI146:AI147"/>
    <mergeCell ref="K146:K147"/>
    <mergeCell ref="Y146:Y147"/>
    <mergeCell ref="Z146:Z147"/>
    <mergeCell ref="AA146:AA147"/>
    <mergeCell ref="AB146:AB147"/>
    <mergeCell ref="I144:I149"/>
    <mergeCell ref="P144:P149"/>
    <mergeCell ref="V144:AB144"/>
    <mergeCell ref="AC144:CN144"/>
    <mergeCell ref="J145:J148"/>
    <mergeCell ref="Q145:Q148"/>
    <mergeCell ref="V145:AB145"/>
    <mergeCell ref="AC145:CN145"/>
    <mergeCell ref="CO146:CO147"/>
    <mergeCell ref="AG146:AG147"/>
    <mergeCell ref="AH146:AH147"/>
    <mergeCell ref="AF146:AF147"/>
    <mergeCell ref="F152:F161"/>
    <mergeCell ref="V152:AB152"/>
    <mergeCell ref="AC152:CN152"/>
    <mergeCell ref="G153:G160"/>
    <mergeCell ref="V153:AB153"/>
    <mergeCell ref="AC153:CN153"/>
    <mergeCell ref="H154:H160"/>
    <mergeCell ref="AI156:AI157"/>
    <mergeCell ref="K156:K157"/>
    <mergeCell ref="Y156:Y157"/>
    <mergeCell ref="Z156:Z157"/>
    <mergeCell ref="AA156:AA157"/>
    <mergeCell ref="AB156:AB157"/>
    <mergeCell ref="I154:I159"/>
    <mergeCell ref="P154:P159"/>
    <mergeCell ref="V154:AB154"/>
    <mergeCell ref="AC154:CN154"/>
    <mergeCell ref="J155:J158"/>
    <mergeCell ref="Q155:Q158"/>
    <mergeCell ref="V155:AB155"/>
    <mergeCell ref="AC155:CN155"/>
    <mergeCell ref="CO156:CO157"/>
    <mergeCell ref="AG156:AG157"/>
    <mergeCell ref="AH156:AH157"/>
    <mergeCell ref="AF156:AF157"/>
    <mergeCell ref="F162:F171"/>
    <mergeCell ref="V162:AB162"/>
    <mergeCell ref="AC162:CN162"/>
    <mergeCell ref="G163:G170"/>
    <mergeCell ref="V163:AB163"/>
    <mergeCell ref="AC163:CN163"/>
    <mergeCell ref="H164:H170"/>
    <mergeCell ref="AI166:AI167"/>
    <mergeCell ref="K166:K167"/>
    <mergeCell ref="Y166:Y167"/>
    <mergeCell ref="Z166:Z167"/>
    <mergeCell ref="AA166:AA167"/>
    <mergeCell ref="AB166:AB167"/>
    <mergeCell ref="I164:I169"/>
    <mergeCell ref="P164:P169"/>
    <mergeCell ref="V164:AB164"/>
    <mergeCell ref="AC164:CN164"/>
    <mergeCell ref="J165:J168"/>
    <mergeCell ref="Q165:Q168"/>
    <mergeCell ref="V165:AB165"/>
    <mergeCell ref="AC165:CN165"/>
    <mergeCell ref="CO166:CO167"/>
    <mergeCell ref="AG166:AG167"/>
    <mergeCell ref="AH166:AH167"/>
    <mergeCell ref="AF166:AF167"/>
    <mergeCell ref="F172:F181"/>
    <mergeCell ref="V172:AB172"/>
    <mergeCell ref="AC172:CN172"/>
    <mergeCell ref="G173:G180"/>
    <mergeCell ref="V173:AB173"/>
    <mergeCell ref="AC173:CN173"/>
    <mergeCell ref="H174:H180"/>
    <mergeCell ref="AI176:AI177"/>
    <mergeCell ref="K176:K177"/>
    <mergeCell ref="Y176:Y177"/>
    <mergeCell ref="Z176:Z177"/>
    <mergeCell ref="AA176:AA177"/>
    <mergeCell ref="AB176:AB177"/>
    <mergeCell ref="I174:I179"/>
    <mergeCell ref="P174:P179"/>
    <mergeCell ref="V174:AB174"/>
    <mergeCell ref="AC174:CN174"/>
    <mergeCell ref="J175:J178"/>
    <mergeCell ref="Q175:Q178"/>
    <mergeCell ref="V175:AB175"/>
    <mergeCell ref="AC175:CN175"/>
    <mergeCell ref="CO176:CO177"/>
    <mergeCell ref="AG176:AG177"/>
    <mergeCell ref="AH176:AH177"/>
    <mergeCell ref="AF176:AF177"/>
    <mergeCell ref="F182:F191"/>
    <mergeCell ref="V182:AB182"/>
    <mergeCell ref="AC182:CN182"/>
    <mergeCell ref="G183:G190"/>
    <mergeCell ref="V183:AB183"/>
    <mergeCell ref="AC183:CN183"/>
    <mergeCell ref="H184:H190"/>
    <mergeCell ref="AI186:AI187"/>
    <mergeCell ref="K186:K187"/>
    <mergeCell ref="Y186:Y187"/>
    <mergeCell ref="Z186:Z187"/>
    <mergeCell ref="AA186:AA187"/>
    <mergeCell ref="AB186:AB187"/>
    <mergeCell ref="I184:I189"/>
    <mergeCell ref="P184:P189"/>
    <mergeCell ref="V184:AB184"/>
    <mergeCell ref="AC184:CN184"/>
    <mergeCell ref="J185:J188"/>
    <mergeCell ref="Q185:Q188"/>
    <mergeCell ref="V185:AB185"/>
    <mergeCell ref="AC185:CN185"/>
    <mergeCell ref="CO186:CO187"/>
    <mergeCell ref="AG186:AG187"/>
    <mergeCell ref="AH186:AH187"/>
    <mergeCell ref="AF186:AF187"/>
    <mergeCell ref="F192:F201"/>
    <mergeCell ref="V192:AB192"/>
    <mergeCell ref="AC192:CN192"/>
    <mergeCell ref="G193:G200"/>
    <mergeCell ref="V193:AB193"/>
    <mergeCell ref="AC193:CN193"/>
    <mergeCell ref="H194:H200"/>
    <mergeCell ref="AI196:AI197"/>
    <mergeCell ref="K196:K197"/>
    <mergeCell ref="Y196:Y197"/>
    <mergeCell ref="Z196:Z197"/>
    <mergeCell ref="AA196:AA197"/>
    <mergeCell ref="AB196:AB197"/>
    <mergeCell ref="I194:I199"/>
    <mergeCell ref="P194:P199"/>
    <mergeCell ref="V194:AB194"/>
    <mergeCell ref="AC194:CN194"/>
    <mergeCell ref="J195:J198"/>
    <mergeCell ref="Q195:Q198"/>
    <mergeCell ref="V195:AB195"/>
    <mergeCell ref="AC195:CN195"/>
    <mergeCell ref="CO196:CO197"/>
    <mergeCell ref="AG196:AG197"/>
    <mergeCell ref="AH196:AH197"/>
    <mergeCell ref="AF196:AF197"/>
    <mergeCell ref="F202:F211"/>
    <mergeCell ref="V202:AB202"/>
    <mergeCell ref="AC202:CN202"/>
    <mergeCell ref="G203:G210"/>
    <mergeCell ref="V203:AB203"/>
    <mergeCell ref="AC203:CN203"/>
    <mergeCell ref="H204:H210"/>
    <mergeCell ref="AI206:AI207"/>
    <mergeCell ref="K206:K207"/>
    <mergeCell ref="Y206:Y207"/>
    <mergeCell ref="Z206:Z207"/>
    <mergeCell ref="AA206:AA207"/>
    <mergeCell ref="AB206:AB207"/>
    <mergeCell ref="I204:I209"/>
    <mergeCell ref="P204:P209"/>
    <mergeCell ref="V204:AB204"/>
    <mergeCell ref="AC204:CN204"/>
    <mergeCell ref="J205:J208"/>
    <mergeCell ref="Q205:Q208"/>
    <mergeCell ref="V205:AB205"/>
    <mergeCell ref="AC205:CN205"/>
    <mergeCell ref="CO206:CO207"/>
    <mergeCell ref="AG206:AG207"/>
    <mergeCell ref="AH206:AH207"/>
    <mergeCell ref="AF206:AF207"/>
    <mergeCell ref="F212:F221"/>
    <mergeCell ref="V212:AB212"/>
    <mergeCell ref="AC212:CN212"/>
    <mergeCell ref="G213:G220"/>
    <mergeCell ref="V213:AB213"/>
    <mergeCell ref="AC213:CN213"/>
    <mergeCell ref="H214:H220"/>
    <mergeCell ref="AI216:AI217"/>
    <mergeCell ref="K216:K217"/>
    <mergeCell ref="Y216:Y217"/>
    <mergeCell ref="Z216:Z217"/>
    <mergeCell ref="AA216:AA217"/>
    <mergeCell ref="AB216:AB217"/>
    <mergeCell ref="I214:I219"/>
    <mergeCell ref="P214:P219"/>
    <mergeCell ref="V214:AB214"/>
    <mergeCell ref="AC214:CN214"/>
    <mergeCell ref="J215:J218"/>
    <mergeCell ref="Q215:Q218"/>
    <mergeCell ref="V215:AB215"/>
    <mergeCell ref="AC215:CN215"/>
    <mergeCell ref="CO216:CO217"/>
    <mergeCell ref="AG216:AG217"/>
    <mergeCell ref="AH216:AH217"/>
    <mergeCell ref="AF216:AF217"/>
    <mergeCell ref="F222:F231"/>
    <mergeCell ref="V222:AB222"/>
    <mergeCell ref="AC222:CN222"/>
    <mergeCell ref="G223:G230"/>
    <mergeCell ref="V223:AB223"/>
    <mergeCell ref="AC223:CN223"/>
    <mergeCell ref="H224:H230"/>
    <mergeCell ref="AI226:AI227"/>
    <mergeCell ref="K226:K227"/>
    <mergeCell ref="Y226:Y227"/>
    <mergeCell ref="Z226:Z227"/>
    <mergeCell ref="AA226:AA227"/>
    <mergeCell ref="AB226:AB227"/>
    <mergeCell ref="I224:I229"/>
    <mergeCell ref="P224:P229"/>
    <mergeCell ref="V224:AB224"/>
    <mergeCell ref="AC224:CN224"/>
    <mergeCell ref="J225:J228"/>
    <mergeCell ref="Q225:Q228"/>
    <mergeCell ref="V225:AB225"/>
    <mergeCell ref="AC225:CN225"/>
    <mergeCell ref="CO226:CO227"/>
    <mergeCell ref="AG226:AG227"/>
    <mergeCell ref="AH226:AH227"/>
    <mergeCell ref="AF226:AF227"/>
    <mergeCell ref="F232:F241"/>
    <mergeCell ref="V232:AB232"/>
    <mergeCell ref="AC232:CN232"/>
    <mergeCell ref="G233:G240"/>
    <mergeCell ref="V233:AB233"/>
    <mergeCell ref="AC233:CN233"/>
    <mergeCell ref="H234:H240"/>
    <mergeCell ref="AI236:AI237"/>
    <mergeCell ref="K236:K237"/>
    <mergeCell ref="Y236:Y237"/>
    <mergeCell ref="Z236:Z237"/>
    <mergeCell ref="AA236:AA237"/>
    <mergeCell ref="AB236:AB237"/>
    <mergeCell ref="I234:I239"/>
    <mergeCell ref="P234:P239"/>
    <mergeCell ref="V234:AB234"/>
    <mergeCell ref="AC234:CN234"/>
    <mergeCell ref="J235:J238"/>
    <mergeCell ref="Q235:Q238"/>
    <mergeCell ref="V235:AB235"/>
    <mergeCell ref="AC235:CN235"/>
    <mergeCell ref="CO236:CO237"/>
    <mergeCell ref="AG236:AG237"/>
    <mergeCell ref="AH236:AH237"/>
    <mergeCell ref="AF236:AF237"/>
    <mergeCell ref="F242:F251"/>
    <mergeCell ref="V242:AB242"/>
    <mergeCell ref="AC242:CN242"/>
    <mergeCell ref="G243:G250"/>
    <mergeCell ref="V243:AB243"/>
    <mergeCell ref="AC243:CN243"/>
    <mergeCell ref="H244:H250"/>
    <mergeCell ref="AI246:AI247"/>
    <mergeCell ref="K246:K247"/>
    <mergeCell ref="Y246:Y247"/>
    <mergeCell ref="Z246:Z247"/>
    <mergeCell ref="AA246:AA247"/>
    <mergeCell ref="AB246:AB247"/>
    <mergeCell ref="I244:I249"/>
    <mergeCell ref="P244:P249"/>
    <mergeCell ref="V244:AB244"/>
    <mergeCell ref="AC244:CN244"/>
    <mergeCell ref="J245:J248"/>
    <mergeCell ref="Q245:Q248"/>
    <mergeCell ref="V245:AB245"/>
    <mergeCell ref="AC245:CN245"/>
    <mergeCell ref="CO246:CO247"/>
    <mergeCell ref="AG246:AG247"/>
    <mergeCell ref="AH246:AH247"/>
    <mergeCell ref="AF246:AF247"/>
    <mergeCell ref="AB46:AB47"/>
    <mergeCell ref="Z46:Z47"/>
    <mergeCell ref="AA46:AA47"/>
    <mergeCell ref="Y46:Y47"/>
    <mergeCell ref="AM7:AM8"/>
    <mergeCell ref="AN7:AN8"/>
    <mergeCell ref="AO7:AO8"/>
    <mergeCell ref="AP7:AP8"/>
    <mergeCell ref="AJ27:AO27"/>
    <mergeCell ref="AJ28:AO28"/>
    <mergeCell ref="AJ29:AO29"/>
    <mergeCell ref="AJ30:AO30"/>
    <mergeCell ref="AJ32:AO32"/>
    <mergeCell ref="AJ33:AO33"/>
    <mergeCell ref="AJ35:AP35"/>
    <mergeCell ref="AJ37:AO37"/>
    <mergeCell ref="AP37:AP39"/>
    <mergeCell ref="AK38:AL38"/>
    <mergeCell ref="AM38:AO38"/>
    <mergeCell ref="AN39:AO39"/>
    <mergeCell ref="AN40:AO40"/>
    <mergeCell ref="AM46:AM47"/>
    <mergeCell ref="AN46:AN47"/>
    <mergeCell ref="AO46:AO47"/>
    <mergeCell ref="AP46:AP47"/>
    <mergeCell ref="AM56:AM57"/>
    <mergeCell ref="AN56:AN57"/>
    <mergeCell ref="AO56:AO57"/>
    <mergeCell ref="AP56:AP57"/>
    <mergeCell ref="AM66:AM67"/>
    <mergeCell ref="AN66:AN67"/>
    <mergeCell ref="AO66:AO67"/>
    <mergeCell ref="AP66:AP67"/>
    <mergeCell ref="AM76:AM77"/>
    <mergeCell ref="AN76:AN77"/>
    <mergeCell ref="AO76:AO77"/>
    <mergeCell ref="AP76:AP77"/>
    <mergeCell ref="AM86:AM87"/>
    <mergeCell ref="AN86:AN87"/>
    <mergeCell ref="AO86:AO87"/>
    <mergeCell ref="AP86:AP87"/>
    <mergeCell ref="AM96:AM97"/>
    <mergeCell ref="AN96:AN97"/>
    <mergeCell ref="AO96:AO97"/>
    <mergeCell ref="AP96:AP97"/>
    <mergeCell ref="AM106:AM107"/>
    <mergeCell ref="AN106:AN107"/>
    <mergeCell ref="AO106:AO107"/>
    <mergeCell ref="AP106:AP107"/>
    <mergeCell ref="AM116:AM117"/>
    <mergeCell ref="AN116:AN117"/>
    <mergeCell ref="AO116:AO117"/>
    <mergeCell ref="AP116:AP117"/>
    <mergeCell ref="AM126:AM127"/>
    <mergeCell ref="AN126:AN127"/>
    <mergeCell ref="AO126:AO127"/>
    <mergeCell ref="AP126:AP127"/>
    <mergeCell ref="AM136:AM137"/>
    <mergeCell ref="AN136:AN137"/>
    <mergeCell ref="AO136:AO137"/>
    <mergeCell ref="AP136:AP137"/>
    <mergeCell ref="AM146:AM147"/>
    <mergeCell ref="AN146:AN147"/>
    <mergeCell ref="AO146:AO147"/>
    <mergeCell ref="AP146:AP147"/>
    <mergeCell ref="AM156:AM157"/>
    <mergeCell ref="AN156:AN157"/>
    <mergeCell ref="AO156:AO157"/>
    <mergeCell ref="AP156:AP157"/>
    <mergeCell ref="AM166:AM167"/>
    <mergeCell ref="AN166:AN167"/>
    <mergeCell ref="AO166:AO167"/>
    <mergeCell ref="AP166:AP167"/>
    <mergeCell ref="AM176:AM177"/>
    <mergeCell ref="AN176:AN177"/>
    <mergeCell ref="AO176:AO177"/>
    <mergeCell ref="AP176:AP177"/>
    <mergeCell ref="AM186:AM187"/>
    <mergeCell ref="AN186:AN187"/>
    <mergeCell ref="AO186:AO187"/>
    <mergeCell ref="AP186:AP187"/>
    <mergeCell ref="AM196:AM197"/>
    <mergeCell ref="AN196:AN197"/>
    <mergeCell ref="AO196:AO197"/>
    <mergeCell ref="AP196:AP197"/>
    <mergeCell ref="AM206:AM207"/>
    <mergeCell ref="AN206:AN207"/>
    <mergeCell ref="AO206:AO207"/>
    <mergeCell ref="AP206:AP207"/>
    <mergeCell ref="AM216:AM217"/>
    <mergeCell ref="AN216:AN217"/>
    <mergeCell ref="AO216:AO217"/>
    <mergeCell ref="AP216:AP217"/>
    <mergeCell ref="AM226:AM227"/>
    <mergeCell ref="AN226:AN227"/>
    <mergeCell ref="AO226:AO227"/>
    <mergeCell ref="AP226:AP227"/>
    <mergeCell ref="AM236:AM237"/>
    <mergeCell ref="AN236:AN237"/>
    <mergeCell ref="AO236:AO237"/>
    <mergeCell ref="AP236:AP237"/>
    <mergeCell ref="AM246:AM247"/>
    <mergeCell ref="AN246:AN247"/>
    <mergeCell ref="AO246:AO247"/>
    <mergeCell ref="AP246:AP247"/>
    <mergeCell ref="AT7:AT8"/>
    <mergeCell ref="AU7:AU8"/>
    <mergeCell ref="AV7:AV8"/>
    <mergeCell ref="AW7:AW8"/>
    <mergeCell ref="AQ27:AV27"/>
    <mergeCell ref="AQ28:AV28"/>
    <mergeCell ref="AQ29:AV29"/>
    <mergeCell ref="AQ30:AV30"/>
    <mergeCell ref="AQ32:AV32"/>
    <mergeCell ref="AQ33:AV33"/>
    <mergeCell ref="AQ35:AW35"/>
    <mergeCell ref="AQ37:AV37"/>
    <mergeCell ref="AW37:AW39"/>
    <mergeCell ref="AR38:AS38"/>
    <mergeCell ref="AT38:AV38"/>
    <mergeCell ref="AU39:AV39"/>
    <mergeCell ref="AU40:AV40"/>
    <mergeCell ref="AT46:AT47"/>
    <mergeCell ref="AU46:AU47"/>
    <mergeCell ref="AV46:AV47"/>
    <mergeCell ref="AW46:AW47"/>
    <mergeCell ref="AT56:AT57"/>
    <mergeCell ref="AU56:AU57"/>
    <mergeCell ref="AV56:AV57"/>
    <mergeCell ref="AW56:AW57"/>
    <mergeCell ref="AT66:AT67"/>
    <mergeCell ref="AU66:AU67"/>
    <mergeCell ref="AV66:AV67"/>
    <mergeCell ref="AW66:AW67"/>
    <mergeCell ref="AT76:AT77"/>
    <mergeCell ref="AU76:AU77"/>
    <mergeCell ref="AV76:AV77"/>
    <mergeCell ref="AW76:AW77"/>
    <mergeCell ref="AT86:AT87"/>
    <mergeCell ref="AU86:AU87"/>
    <mergeCell ref="AV86:AV87"/>
    <mergeCell ref="AW86:AW87"/>
    <mergeCell ref="AT96:AT97"/>
    <mergeCell ref="AU96:AU97"/>
    <mergeCell ref="AV96:AV97"/>
    <mergeCell ref="AW96:AW97"/>
    <mergeCell ref="AT106:AT107"/>
    <mergeCell ref="AU106:AU107"/>
    <mergeCell ref="AV106:AV107"/>
    <mergeCell ref="AW106:AW107"/>
    <mergeCell ref="AT116:AT117"/>
    <mergeCell ref="AU116:AU117"/>
    <mergeCell ref="AV116:AV117"/>
    <mergeCell ref="AW116:AW117"/>
    <mergeCell ref="AT126:AT127"/>
    <mergeCell ref="AU126:AU127"/>
    <mergeCell ref="AV126:AV127"/>
    <mergeCell ref="AW126:AW127"/>
    <mergeCell ref="AT136:AT137"/>
    <mergeCell ref="AU136:AU137"/>
    <mergeCell ref="AV136:AV137"/>
    <mergeCell ref="AW136:AW137"/>
    <mergeCell ref="AT146:AT147"/>
    <mergeCell ref="AU146:AU147"/>
    <mergeCell ref="AV146:AV147"/>
    <mergeCell ref="AW146:AW147"/>
    <mergeCell ref="AT156:AT157"/>
    <mergeCell ref="AU156:AU157"/>
    <mergeCell ref="AV156:AV157"/>
    <mergeCell ref="AW156:AW157"/>
    <mergeCell ref="AT166:AT167"/>
    <mergeCell ref="AU166:AU167"/>
    <mergeCell ref="AV166:AV167"/>
    <mergeCell ref="AW166:AW167"/>
    <mergeCell ref="AT176:AT177"/>
    <mergeCell ref="AU176:AU177"/>
    <mergeCell ref="AV176:AV177"/>
    <mergeCell ref="AW176:AW177"/>
    <mergeCell ref="AT186:AT187"/>
    <mergeCell ref="AU186:AU187"/>
    <mergeCell ref="AV186:AV187"/>
    <mergeCell ref="AW186:AW187"/>
    <mergeCell ref="AT196:AT197"/>
    <mergeCell ref="AU196:AU197"/>
    <mergeCell ref="AV196:AV197"/>
    <mergeCell ref="AW196:AW197"/>
    <mergeCell ref="AT206:AT207"/>
    <mergeCell ref="AU206:AU207"/>
    <mergeCell ref="AV206:AV207"/>
    <mergeCell ref="AW206:AW207"/>
    <mergeCell ref="AT216:AT217"/>
    <mergeCell ref="AU216:AU217"/>
    <mergeCell ref="AV216:AV217"/>
    <mergeCell ref="AW216:AW217"/>
    <mergeCell ref="AT226:AT227"/>
    <mergeCell ref="AU226:AU227"/>
    <mergeCell ref="AV226:AV227"/>
    <mergeCell ref="AW226:AW227"/>
    <mergeCell ref="AT236:AT237"/>
    <mergeCell ref="AU236:AU237"/>
    <mergeCell ref="AV236:AV237"/>
    <mergeCell ref="AW236:AW237"/>
    <mergeCell ref="AT246:AT247"/>
    <mergeCell ref="AU246:AU247"/>
    <mergeCell ref="AV246:AV247"/>
    <mergeCell ref="AW246:AW247"/>
    <mergeCell ref="BA7:BA8"/>
    <mergeCell ref="BB7:BB8"/>
    <mergeCell ref="BC7:BC8"/>
    <mergeCell ref="BD7:BD8"/>
    <mergeCell ref="AX27:BC27"/>
    <mergeCell ref="AX28:BC28"/>
    <mergeCell ref="AX29:BC29"/>
    <mergeCell ref="AX30:BC30"/>
    <mergeCell ref="AX32:BC32"/>
    <mergeCell ref="AX33:BC33"/>
    <mergeCell ref="AX35:BD35"/>
    <mergeCell ref="AX37:BC37"/>
    <mergeCell ref="BD37:BD39"/>
    <mergeCell ref="AY38:AZ38"/>
    <mergeCell ref="BA38:BC38"/>
    <mergeCell ref="BB39:BC39"/>
    <mergeCell ref="BB40:BC40"/>
    <mergeCell ref="BA46:BA47"/>
    <mergeCell ref="BB46:BB47"/>
    <mergeCell ref="BC46:BC47"/>
    <mergeCell ref="BD46:BD47"/>
    <mergeCell ref="BA56:BA57"/>
    <mergeCell ref="BB56:BB57"/>
    <mergeCell ref="BC56:BC57"/>
    <mergeCell ref="BD56:BD57"/>
    <mergeCell ref="BA66:BA67"/>
    <mergeCell ref="BB66:BB67"/>
    <mergeCell ref="BC66:BC67"/>
    <mergeCell ref="BD66:BD67"/>
    <mergeCell ref="BA76:BA77"/>
    <mergeCell ref="BB76:BB77"/>
    <mergeCell ref="BC76:BC77"/>
    <mergeCell ref="BD76:BD77"/>
    <mergeCell ref="BA86:BA87"/>
    <mergeCell ref="BB86:BB87"/>
    <mergeCell ref="BC86:BC87"/>
    <mergeCell ref="BD86:BD87"/>
    <mergeCell ref="BA96:BA97"/>
    <mergeCell ref="BB96:BB97"/>
    <mergeCell ref="BC96:BC97"/>
    <mergeCell ref="BD96:BD97"/>
    <mergeCell ref="BA106:BA107"/>
    <mergeCell ref="BB106:BB107"/>
    <mergeCell ref="BC106:BC107"/>
    <mergeCell ref="BD106:BD107"/>
    <mergeCell ref="BA116:BA117"/>
    <mergeCell ref="BB116:BB117"/>
    <mergeCell ref="BC116:BC117"/>
    <mergeCell ref="BD116:BD117"/>
    <mergeCell ref="BA126:BA127"/>
    <mergeCell ref="BB126:BB127"/>
    <mergeCell ref="BC126:BC127"/>
    <mergeCell ref="BD126:BD127"/>
    <mergeCell ref="BA136:BA137"/>
    <mergeCell ref="BB136:BB137"/>
    <mergeCell ref="BC136:BC137"/>
    <mergeCell ref="BD136:BD137"/>
    <mergeCell ref="BA146:BA147"/>
    <mergeCell ref="BB146:BB147"/>
    <mergeCell ref="BC146:BC147"/>
    <mergeCell ref="BD146:BD147"/>
    <mergeCell ref="BA156:BA157"/>
    <mergeCell ref="BB156:BB157"/>
    <mergeCell ref="BC156:BC157"/>
    <mergeCell ref="BD156:BD157"/>
    <mergeCell ref="BA166:BA167"/>
    <mergeCell ref="BB166:BB167"/>
    <mergeCell ref="BC166:BC167"/>
    <mergeCell ref="BD166:BD167"/>
    <mergeCell ref="BA176:BA177"/>
    <mergeCell ref="BB176:BB177"/>
    <mergeCell ref="BC176:BC177"/>
    <mergeCell ref="BD176:BD177"/>
    <mergeCell ref="BA186:BA187"/>
    <mergeCell ref="BB186:BB187"/>
    <mergeCell ref="BC186:BC187"/>
    <mergeCell ref="BD186:BD187"/>
    <mergeCell ref="BA196:BA197"/>
    <mergeCell ref="BB196:BB197"/>
    <mergeCell ref="BC196:BC197"/>
    <mergeCell ref="BD196:BD197"/>
    <mergeCell ref="BA206:BA207"/>
    <mergeCell ref="BB206:BB207"/>
    <mergeCell ref="BC206:BC207"/>
    <mergeCell ref="BD206:BD207"/>
    <mergeCell ref="BA216:BA217"/>
    <mergeCell ref="BB216:BB217"/>
    <mergeCell ref="BC216:BC217"/>
    <mergeCell ref="BD216:BD217"/>
    <mergeCell ref="BA226:BA227"/>
    <mergeCell ref="BB226:BB227"/>
    <mergeCell ref="BC226:BC227"/>
    <mergeCell ref="BD226:BD227"/>
    <mergeCell ref="BA236:BA237"/>
    <mergeCell ref="BB236:BB237"/>
    <mergeCell ref="BC236:BC237"/>
    <mergeCell ref="BD236:BD237"/>
    <mergeCell ref="BA246:BA247"/>
    <mergeCell ref="BB246:BB247"/>
    <mergeCell ref="BC246:BC247"/>
    <mergeCell ref="BD246:BD247"/>
    <mergeCell ref="BH7:BH8"/>
    <mergeCell ref="BI7:BI8"/>
    <mergeCell ref="BJ7:BJ8"/>
    <mergeCell ref="BK7:BK8"/>
    <mergeCell ref="BE27:BJ27"/>
    <mergeCell ref="BE28:BJ28"/>
    <mergeCell ref="BE29:BJ29"/>
    <mergeCell ref="BE30:BJ30"/>
    <mergeCell ref="BE32:BJ32"/>
    <mergeCell ref="BE33:BJ33"/>
    <mergeCell ref="BE35:BK35"/>
    <mergeCell ref="BE37:BJ37"/>
    <mergeCell ref="BK37:BK39"/>
    <mergeCell ref="BF38:BG38"/>
    <mergeCell ref="BH38:BJ38"/>
    <mergeCell ref="BI39:BJ39"/>
    <mergeCell ref="BI40:BJ40"/>
    <mergeCell ref="BH46:BH47"/>
    <mergeCell ref="BI46:BI47"/>
    <mergeCell ref="BJ46:BJ47"/>
    <mergeCell ref="BK46:BK47"/>
    <mergeCell ref="BH56:BH57"/>
    <mergeCell ref="BI56:BI57"/>
    <mergeCell ref="BJ56:BJ57"/>
    <mergeCell ref="BK56:BK57"/>
    <mergeCell ref="BH66:BH67"/>
    <mergeCell ref="BI66:BI67"/>
    <mergeCell ref="BJ66:BJ67"/>
    <mergeCell ref="BK66:BK67"/>
    <mergeCell ref="BH76:BH77"/>
    <mergeCell ref="BI76:BI77"/>
    <mergeCell ref="BJ76:BJ77"/>
    <mergeCell ref="BK76:BK77"/>
    <mergeCell ref="BH86:BH87"/>
    <mergeCell ref="BI86:BI87"/>
    <mergeCell ref="BJ86:BJ87"/>
    <mergeCell ref="BK86:BK87"/>
    <mergeCell ref="BH96:BH97"/>
    <mergeCell ref="BI96:BI97"/>
    <mergeCell ref="BJ96:BJ97"/>
    <mergeCell ref="BK96:BK97"/>
    <mergeCell ref="BH106:BH107"/>
    <mergeCell ref="BI106:BI107"/>
    <mergeCell ref="BJ106:BJ107"/>
    <mergeCell ref="BK106:BK107"/>
    <mergeCell ref="BH116:BH117"/>
    <mergeCell ref="BI116:BI117"/>
    <mergeCell ref="BJ116:BJ117"/>
    <mergeCell ref="BK116:BK117"/>
    <mergeCell ref="BH126:BH127"/>
    <mergeCell ref="BI126:BI127"/>
    <mergeCell ref="BJ126:BJ127"/>
    <mergeCell ref="BK126:BK127"/>
    <mergeCell ref="BH136:BH137"/>
    <mergeCell ref="BI136:BI137"/>
    <mergeCell ref="BJ136:BJ137"/>
    <mergeCell ref="BK136:BK137"/>
    <mergeCell ref="BH146:BH147"/>
    <mergeCell ref="BI146:BI147"/>
    <mergeCell ref="BJ146:BJ147"/>
    <mergeCell ref="BK146:BK147"/>
    <mergeCell ref="BH156:BH157"/>
    <mergeCell ref="BI156:BI157"/>
    <mergeCell ref="BJ156:BJ157"/>
    <mergeCell ref="BK156:BK157"/>
    <mergeCell ref="BH166:BH167"/>
    <mergeCell ref="BI166:BI167"/>
    <mergeCell ref="BJ166:BJ167"/>
    <mergeCell ref="BK166:BK167"/>
    <mergeCell ref="BH176:BH177"/>
    <mergeCell ref="BI176:BI177"/>
    <mergeCell ref="BJ176:BJ177"/>
    <mergeCell ref="BK176:BK177"/>
    <mergeCell ref="BH186:BH187"/>
    <mergeCell ref="BI186:BI187"/>
    <mergeCell ref="BJ186:BJ187"/>
    <mergeCell ref="BK186:BK187"/>
    <mergeCell ref="BH196:BH197"/>
    <mergeCell ref="BI196:BI197"/>
    <mergeCell ref="BJ196:BJ197"/>
    <mergeCell ref="BK196:BK197"/>
    <mergeCell ref="BH206:BH207"/>
    <mergeCell ref="BI206:BI207"/>
    <mergeCell ref="BJ206:BJ207"/>
    <mergeCell ref="BK206:BK207"/>
    <mergeCell ref="BH216:BH217"/>
    <mergeCell ref="BI216:BI217"/>
    <mergeCell ref="BJ216:BJ217"/>
    <mergeCell ref="BK216:BK217"/>
    <mergeCell ref="BH226:BH227"/>
    <mergeCell ref="BI226:BI227"/>
    <mergeCell ref="BJ226:BJ227"/>
    <mergeCell ref="BK226:BK227"/>
    <mergeCell ref="BH236:BH237"/>
    <mergeCell ref="BI236:BI237"/>
    <mergeCell ref="BJ236:BJ237"/>
    <mergeCell ref="BK236:BK237"/>
    <mergeCell ref="BH246:BH247"/>
    <mergeCell ref="BI246:BI247"/>
    <mergeCell ref="BJ246:BJ247"/>
    <mergeCell ref="BK246:BK247"/>
    <mergeCell ref="BO7:BO8"/>
    <mergeCell ref="BP7:BP8"/>
    <mergeCell ref="BQ7:BQ8"/>
    <mergeCell ref="BR7:BR8"/>
    <mergeCell ref="BL27:BQ27"/>
    <mergeCell ref="BL28:BQ28"/>
    <mergeCell ref="BL29:BQ29"/>
    <mergeCell ref="BL30:BQ30"/>
    <mergeCell ref="BL32:BQ32"/>
    <mergeCell ref="BL33:BQ33"/>
    <mergeCell ref="BL35:BR35"/>
    <mergeCell ref="BL37:BQ37"/>
    <mergeCell ref="BR37:BR39"/>
    <mergeCell ref="BM38:BN38"/>
    <mergeCell ref="BO38:BQ38"/>
    <mergeCell ref="BP39:BQ39"/>
    <mergeCell ref="BP40:BQ40"/>
    <mergeCell ref="BO46:BO47"/>
    <mergeCell ref="BP46:BP47"/>
    <mergeCell ref="BQ46:BQ47"/>
    <mergeCell ref="BR46:BR47"/>
    <mergeCell ref="BO56:BO57"/>
    <mergeCell ref="BP56:BP57"/>
    <mergeCell ref="BQ56:BQ57"/>
    <mergeCell ref="BR56:BR57"/>
    <mergeCell ref="BO66:BO67"/>
    <mergeCell ref="BP66:BP67"/>
    <mergeCell ref="BQ66:BQ67"/>
    <mergeCell ref="BR66:BR67"/>
    <mergeCell ref="BO76:BO77"/>
    <mergeCell ref="BP76:BP77"/>
    <mergeCell ref="BQ76:BQ77"/>
    <mergeCell ref="BR76:BR77"/>
    <mergeCell ref="BO86:BO87"/>
    <mergeCell ref="BP86:BP87"/>
    <mergeCell ref="BQ86:BQ87"/>
    <mergeCell ref="BR86:BR87"/>
    <mergeCell ref="BO96:BO97"/>
    <mergeCell ref="BP96:BP97"/>
    <mergeCell ref="BQ96:BQ97"/>
    <mergeCell ref="BR96:BR97"/>
    <mergeCell ref="BO106:BO107"/>
    <mergeCell ref="BP106:BP107"/>
    <mergeCell ref="BQ106:BQ107"/>
    <mergeCell ref="BR106:BR107"/>
    <mergeCell ref="BO116:BO117"/>
    <mergeCell ref="BP116:BP117"/>
    <mergeCell ref="BQ116:BQ117"/>
    <mergeCell ref="BR116:BR117"/>
    <mergeCell ref="BO126:BO127"/>
    <mergeCell ref="BP126:BP127"/>
    <mergeCell ref="BQ126:BQ127"/>
    <mergeCell ref="BR126:BR127"/>
    <mergeCell ref="BO136:BO137"/>
    <mergeCell ref="BP136:BP137"/>
    <mergeCell ref="BQ136:BQ137"/>
    <mergeCell ref="BR136:BR137"/>
    <mergeCell ref="BO146:BO147"/>
    <mergeCell ref="BP146:BP147"/>
    <mergeCell ref="BQ146:BQ147"/>
    <mergeCell ref="BR146:BR147"/>
    <mergeCell ref="BO156:BO157"/>
    <mergeCell ref="BP156:BP157"/>
    <mergeCell ref="BQ156:BQ157"/>
    <mergeCell ref="BR156:BR157"/>
    <mergeCell ref="BO166:BO167"/>
    <mergeCell ref="BP166:BP167"/>
    <mergeCell ref="BQ166:BQ167"/>
    <mergeCell ref="BR166:BR167"/>
    <mergeCell ref="BO176:BO177"/>
    <mergeCell ref="BP176:BP177"/>
    <mergeCell ref="BQ176:BQ177"/>
    <mergeCell ref="BR176:BR177"/>
    <mergeCell ref="BO186:BO187"/>
    <mergeCell ref="BP186:BP187"/>
    <mergeCell ref="BQ186:BQ187"/>
    <mergeCell ref="BR186:BR187"/>
    <mergeCell ref="BO196:BO197"/>
    <mergeCell ref="BP196:BP197"/>
    <mergeCell ref="BQ196:BQ197"/>
    <mergeCell ref="BR196:BR197"/>
    <mergeCell ref="BO206:BO207"/>
    <mergeCell ref="BP206:BP207"/>
    <mergeCell ref="BQ206:BQ207"/>
    <mergeCell ref="BR206:BR207"/>
    <mergeCell ref="BO216:BO217"/>
    <mergeCell ref="BP216:BP217"/>
    <mergeCell ref="BQ216:BQ217"/>
    <mergeCell ref="BR216:BR217"/>
    <mergeCell ref="BO226:BO227"/>
    <mergeCell ref="BP226:BP227"/>
    <mergeCell ref="BQ226:BQ227"/>
    <mergeCell ref="BR226:BR227"/>
    <mergeCell ref="BO236:BO237"/>
    <mergeCell ref="BP236:BP237"/>
    <mergeCell ref="BQ236:BQ237"/>
    <mergeCell ref="BR236:BR237"/>
    <mergeCell ref="BO246:BO247"/>
    <mergeCell ref="BP246:BP247"/>
    <mergeCell ref="BQ246:BQ247"/>
    <mergeCell ref="BR246:BR247"/>
    <mergeCell ref="BV7:BV8"/>
    <mergeCell ref="BW7:BW8"/>
    <mergeCell ref="BX7:BX8"/>
    <mergeCell ref="BY7:BY8"/>
    <mergeCell ref="BS27:BX27"/>
    <mergeCell ref="BS28:BX28"/>
    <mergeCell ref="BS29:BX29"/>
    <mergeCell ref="BS30:BX30"/>
    <mergeCell ref="BS32:BX32"/>
    <mergeCell ref="BS33:BX33"/>
    <mergeCell ref="BS35:BY35"/>
    <mergeCell ref="BS37:BX37"/>
    <mergeCell ref="BY37:BY39"/>
    <mergeCell ref="BT38:BU38"/>
    <mergeCell ref="BV38:BX38"/>
    <mergeCell ref="BW39:BX39"/>
    <mergeCell ref="BW40:BX40"/>
    <mergeCell ref="BV46:BV47"/>
    <mergeCell ref="BW46:BW47"/>
    <mergeCell ref="BX46:BX47"/>
    <mergeCell ref="BY46:BY47"/>
    <mergeCell ref="BV56:BV57"/>
    <mergeCell ref="BW56:BW57"/>
    <mergeCell ref="BX56:BX57"/>
    <mergeCell ref="BY56:BY57"/>
    <mergeCell ref="BV66:BV67"/>
    <mergeCell ref="BW66:BW67"/>
    <mergeCell ref="BX66:BX67"/>
    <mergeCell ref="BY66:BY67"/>
    <mergeCell ref="BV76:BV77"/>
    <mergeCell ref="BW76:BW77"/>
    <mergeCell ref="BX76:BX77"/>
    <mergeCell ref="BY76:BY77"/>
    <mergeCell ref="BV86:BV87"/>
    <mergeCell ref="BW86:BW87"/>
    <mergeCell ref="BX86:BX87"/>
    <mergeCell ref="BY86:BY87"/>
    <mergeCell ref="BV96:BV97"/>
    <mergeCell ref="BW96:BW97"/>
    <mergeCell ref="BX96:BX97"/>
    <mergeCell ref="BY96:BY97"/>
    <mergeCell ref="BV106:BV107"/>
    <mergeCell ref="BW106:BW107"/>
    <mergeCell ref="BX106:BX107"/>
    <mergeCell ref="BY106:BY107"/>
    <mergeCell ref="BV116:BV117"/>
    <mergeCell ref="BW116:BW117"/>
    <mergeCell ref="BX116:BX117"/>
    <mergeCell ref="BY116:BY117"/>
    <mergeCell ref="BV126:BV127"/>
    <mergeCell ref="BW126:BW127"/>
    <mergeCell ref="BX126:BX127"/>
    <mergeCell ref="BY126:BY127"/>
    <mergeCell ref="BV136:BV137"/>
    <mergeCell ref="BW136:BW137"/>
    <mergeCell ref="BX136:BX137"/>
    <mergeCell ref="BY136:BY137"/>
    <mergeCell ref="BV146:BV147"/>
    <mergeCell ref="BW146:BW147"/>
    <mergeCell ref="BX146:BX147"/>
    <mergeCell ref="BY146:BY147"/>
    <mergeCell ref="BV156:BV157"/>
    <mergeCell ref="BW156:BW157"/>
    <mergeCell ref="BX156:BX157"/>
    <mergeCell ref="BY156:BY157"/>
    <mergeCell ref="BV166:BV167"/>
    <mergeCell ref="BW166:BW167"/>
    <mergeCell ref="BX166:BX167"/>
    <mergeCell ref="BY166:BY167"/>
    <mergeCell ref="BV176:BV177"/>
    <mergeCell ref="BW176:BW177"/>
    <mergeCell ref="BX176:BX177"/>
    <mergeCell ref="BY176:BY177"/>
    <mergeCell ref="BV186:BV187"/>
    <mergeCell ref="BW186:BW187"/>
    <mergeCell ref="BX186:BX187"/>
    <mergeCell ref="BY186:BY187"/>
    <mergeCell ref="BV196:BV197"/>
    <mergeCell ref="BW196:BW197"/>
    <mergeCell ref="BX196:BX197"/>
    <mergeCell ref="BY196:BY197"/>
    <mergeCell ref="BV206:BV207"/>
    <mergeCell ref="BW206:BW207"/>
    <mergeCell ref="BX206:BX207"/>
    <mergeCell ref="BY206:BY207"/>
    <mergeCell ref="BV216:BV217"/>
    <mergeCell ref="BW216:BW217"/>
    <mergeCell ref="BX216:BX217"/>
    <mergeCell ref="BY216:BY217"/>
    <mergeCell ref="BV226:BV227"/>
    <mergeCell ref="BW226:BW227"/>
    <mergeCell ref="BX226:BX227"/>
    <mergeCell ref="BY226:BY227"/>
    <mergeCell ref="BV236:BV237"/>
    <mergeCell ref="BW236:BW237"/>
    <mergeCell ref="BX236:BX237"/>
    <mergeCell ref="BY236:BY237"/>
    <mergeCell ref="BV246:BV247"/>
    <mergeCell ref="BW246:BW247"/>
    <mergeCell ref="BX246:BX247"/>
    <mergeCell ref="BY246:BY247"/>
    <mergeCell ref="CC7:CC8"/>
    <mergeCell ref="CD7:CD8"/>
    <mergeCell ref="CE7:CE8"/>
    <mergeCell ref="CF7:CF8"/>
    <mergeCell ref="BZ27:CE27"/>
    <mergeCell ref="BZ28:CE28"/>
    <mergeCell ref="BZ29:CE29"/>
    <mergeCell ref="BZ30:CE30"/>
    <mergeCell ref="BZ32:CE32"/>
    <mergeCell ref="BZ33:CE33"/>
    <mergeCell ref="BZ35:CF35"/>
    <mergeCell ref="BZ37:CE37"/>
    <mergeCell ref="CF37:CF39"/>
    <mergeCell ref="CA38:CB38"/>
    <mergeCell ref="CC38:CE38"/>
    <mergeCell ref="CD39:CE39"/>
    <mergeCell ref="CD40:CE40"/>
    <mergeCell ref="CC46:CC47"/>
    <mergeCell ref="CD46:CD47"/>
    <mergeCell ref="CE46:CE47"/>
    <mergeCell ref="CF46:CF47"/>
    <mergeCell ref="CC56:CC57"/>
    <mergeCell ref="CD56:CD57"/>
    <mergeCell ref="CE56:CE57"/>
    <mergeCell ref="CF56:CF57"/>
    <mergeCell ref="CC66:CC67"/>
    <mergeCell ref="CD66:CD67"/>
    <mergeCell ref="CE66:CE67"/>
    <mergeCell ref="CF66:CF67"/>
    <mergeCell ref="CC76:CC77"/>
    <mergeCell ref="CD76:CD77"/>
    <mergeCell ref="CE76:CE77"/>
    <mergeCell ref="CF76:CF77"/>
    <mergeCell ref="CC86:CC87"/>
    <mergeCell ref="CD86:CD87"/>
    <mergeCell ref="CE86:CE87"/>
    <mergeCell ref="CF86:CF87"/>
    <mergeCell ref="CC96:CC97"/>
    <mergeCell ref="CD96:CD97"/>
    <mergeCell ref="CE96:CE97"/>
    <mergeCell ref="CF96:CF97"/>
    <mergeCell ref="CC106:CC107"/>
    <mergeCell ref="CD106:CD107"/>
    <mergeCell ref="CE106:CE107"/>
    <mergeCell ref="CF106:CF107"/>
    <mergeCell ref="CC116:CC117"/>
    <mergeCell ref="CD116:CD117"/>
    <mergeCell ref="CE116:CE117"/>
    <mergeCell ref="CF116:CF117"/>
    <mergeCell ref="CC126:CC127"/>
    <mergeCell ref="CD126:CD127"/>
    <mergeCell ref="CE126:CE127"/>
    <mergeCell ref="CF126:CF127"/>
    <mergeCell ref="CC136:CC137"/>
    <mergeCell ref="CD136:CD137"/>
    <mergeCell ref="CE136:CE137"/>
    <mergeCell ref="CF136:CF137"/>
    <mergeCell ref="CC146:CC147"/>
    <mergeCell ref="CD146:CD147"/>
    <mergeCell ref="CE146:CE147"/>
    <mergeCell ref="CF146:CF147"/>
    <mergeCell ref="CC156:CC157"/>
    <mergeCell ref="CD156:CD157"/>
    <mergeCell ref="CE156:CE157"/>
    <mergeCell ref="CF156:CF157"/>
    <mergeCell ref="CC166:CC167"/>
    <mergeCell ref="CD166:CD167"/>
    <mergeCell ref="CE166:CE167"/>
    <mergeCell ref="CF166:CF167"/>
    <mergeCell ref="CC176:CC177"/>
    <mergeCell ref="CD176:CD177"/>
    <mergeCell ref="CE176:CE177"/>
    <mergeCell ref="CF176:CF177"/>
    <mergeCell ref="CC186:CC187"/>
    <mergeCell ref="CD186:CD187"/>
    <mergeCell ref="CE186:CE187"/>
    <mergeCell ref="CF186:CF187"/>
    <mergeCell ref="CC196:CC197"/>
    <mergeCell ref="CD196:CD197"/>
    <mergeCell ref="CE196:CE197"/>
    <mergeCell ref="CF196:CF197"/>
    <mergeCell ref="CC206:CC207"/>
    <mergeCell ref="CD206:CD207"/>
    <mergeCell ref="CE206:CE207"/>
    <mergeCell ref="CF206:CF207"/>
    <mergeCell ref="CC216:CC217"/>
    <mergeCell ref="CD216:CD217"/>
    <mergeCell ref="CE216:CE217"/>
    <mergeCell ref="CF216:CF217"/>
    <mergeCell ref="CC226:CC227"/>
    <mergeCell ref="CD226:CD227"/>
    <mergeCell ref="CE226:CE227"/>
    <mergeCell ref="CF226:CF227"/>
    <mergeCell ref="CC236:CC237"/>
    <mergeCell ref="CD236:CD237"/>
    <mergeCell ref="CE236:CE237"/>
    <mergeCell ref="CF236:CF237"/>
    <mergeCell ref="CC246:CC247"/>
    <mergeCell ref="CD246:CD247"/>
    <mergeCell ref="CE246:CE247"/>
    <mergeCell ref="CF246:CF247"/>
    <mergeCell ref="CJ7:CJ8"/>
    <mergeCell ref="CK7:CK8"/>
    <mergeCell ref="CL7:CL8"/>
    <mergeCell ref="CM7:CM8"/>
    <mergeCell ref="CG27:CL27"/>
    <mergeCell ref="CG28:CL28"/>
    <mergeCell ref="CG29:CL29"/>
    <mergeCell ref="CG30:CL30"/>
    <mergeCell ref="CG32:CL32"/>
    <mergeCell ref="CG33:CL33"/>
    <mergeCell ref="CG35:CM35"/>
    <mergeCell ref="CG37:CL37"/>
    <mergeCell ref="CM37:CM39"/>
    <mergeCell ref="CH38:CI38"/>
    <mergeCell ref="CJ38:CL38"/>
    <mergeCell ref="CK39:CL39"/>
    <mergeCell ref="CK40:CL40"/>
    <mergeCell ref="CJ46:CJ47"/>
    <mergeCell ref="CK46:CK47"/>
    <mergeCell ref="CL46:CL47"/>
    <mergeCell ref="CM46:CM47"/>
    <mergeCell ref="CJ56:CJ57"/>
    <mergeCell ref="CK56:CK57"/>
    <mergeCell ref="CL56:CL57"/>
    <mergeCell ref="CM56:CM57"/>
    <mergeCell ref="CJ66:CJ67"/>
    <mergeCell ref="CK66:CK67"/>
    <mergeCell ref="CL66:CL67"/>
    <mergeCell ref="CM66:CM67"/>
    <mergeCell ref="CJ76:CJ77"/>
    <mergeCell ref="CK76:CK77"/>
    <mergeCell ref="CL76:CL77"/>
    <mergeCell ref="CM76:CM77"/>
    <mergeCell ref="CJ86:CJ87"/>
    <mergeCell ref="CK86:CK87"/>
    <mergeCell ref="CL86:CL87"/>
    <mergeCell ref="CM86:CM87"/>
    <mergeCell ref="CJ96:CJ97"/>
    <mergeCell ref="CK96:CK97"/>
    <mergeCell ref="CL96:CL97"/>
    <mergeCell ref="CM96:CM97"/>
    <mergeCell ref="CJ106:CJ107"/>
    <mergeCell ref="CK106:CK107"/>
    <mergeCell ref="CL106:CL107"/>
    <mergeCell ref="CM106:CM107"/>
    <mergeCell ref="CJ116:CJ117"/>
    <mergeCell ref="CK116:CK117"/>
    <mergeCell ref="CL116:CL117"/>
    <mergeCell ref="CM116:CM117"/>
    <mergeCell ref="CJ126:CJ127"/>
    <mergeCell ref="CK126:CK127"/>
    <mergeCell ref="CL126:CL127"/>
    <mergeCell ref="CM126:CM127"/>
    <mergeCell ref="CJ136:CJ137"/>
    <mergeCell ref="CK136:CK137"/>
    <mergeCell ref="CL136:CL137"/>
    <mergeCell ref="CM136:CM137"/>
    <mergeCell ref="CJ146:CJ147"/>
    <mergeCell ref="CK146:CK147"/>
    <mergeCell ref="CL146:CL147"/>
    <mergeCell ref="CM146:CM147"/>
    <mergeCell ref="CJ156:CJ157"/>
    <mergeCell ref="CK156:CK157"/>
    <mergeCell ref="CL156:CL157"/>
    <mergeCell ref="CM156:CM157"/>
    <mergeCell ref="CJ166:CJ167"/>
    <mergeCell ref="CK166:CK167"/>
    <mergeCell ref="CL166:CL167"/>
    <mergeCell ref="CM166:CM167"/>
    <mergeCell ref="CJ176:CJ177"/>
    <mergeCell ref="CK176:CK177"/>
    <mergeCell ref="CL176:CL177"/>
    <mergeCell ref="CM176:CM177"/>
    <mergeCell ref="CJ186:CJ187"/>
    <mergeCell ref="CK186:CK187"/>
    <mergeCell ref="CL186:CL187"/>
    <mergeCell ref="CM186:CM187"/>
    <mergeCell ref="CJ196:CJ197"/>
    <mergeCell ref="CK196:CK197"/>
    <mergeCell ref="CL196:CL197"/>
    <mergeCell ref="CM196:CM197"/>
    <mergeCell ref="CJ206:CJ207"/>
    <mergeCell ref="CK206:CK207"/>
    <mergeCell ref="CL206:CL207"/>
    <mergeCell ref="CM206:CM207"/>
    <mergeCell ref="CJ216:CJ217"/>
    <mergeCell ref="CK216:CK217"/>
    <mergeCell ref="CL216:CL217"/>
    <mergeCell ref="CM216:CM217"/>
    <mergeCell ref="CJ226:CJ227"/>
    <mergeCell ref="CK226:CK227"/>
    <mergeCell ref="CL226:CL227"/>
    <mergeCell ref="CM226:CM227"/>
    <mergeCell ref="CJ236:CJ237"/>
    <mergeCell ref="CK236:CK237"/>
    <mergeCell ref="CL236:CL237"/>
    <mergeCell ref="CM236:CM237"/>
    <mergeCell ref="CJ246:CJ247"/>
    <mergeCell ref="CK246:CK247"/>
    <mergeCell ref="CL246:CL247"/>
    <mergeCell ref="CM246:CM247"/>
  </mergeCells>
  <dataValidations count="8">
    <dataValidation type="list" allowBlank="1" showInputMessage="1" errorTitle="Ошибка" error="Выберите значение из списка" prompt="Выберите значение из списка" sqref="V983281:CN983281 V65777:CN65777 V131313:CN131313 V196849:CN196849 V262385:CN262385 V327921:CN327921 V393457:CN393457 V458993:CN458993 V524529:CN524529 V590065:CN590065 V655601:CN655601 V721137:CN721137 V786673:CN786673 V852209:CN852209 V917745:CN917745">
      <formula1>kind_of_cons</formula1>
    </dataValidation>
    <dataValidation allowBlank="1" sqref="S131316:CO131322 S196852:CO196858 S262388:CO262394 S327924:CO327930 S393460:CO393466 S458996:CO459002 S524532:CO524538 S590068:CO590074 S655604:CO655610 S721140:CO721146 S786676:CO786682 S852212:CO852218 S917748:CO917754 S983284:CO983290 S65780:CO65786"/>
    <dataValidation allowBlank="1" showInputMessage="1" showErrorMessage="1" prompt="Для выбора выполните двойной щелчок левой клавиши мыши по соответствующей ячейке." sqref="Z65778 Z131314 Z196850 Z262386 Z327922 Z393458 Z458994 Z524530 Z590066 Z655602 Z721138 Z786674 Z852210 Z917746 Z983282 AB131314 AB458994 AB196850 AB262386 AB327922 AB393458 AB524530 AB590066 AB655602 AB721138 AB786674 AB852210 AB917746 AB983282 AB65778 AG65778 AG131314 AG196850 AG262386 AG327922 AG393458 AG458994 AG524530 AG590066 AG655602 AG721138 AG786674 AG852210 AG917746 AG983282 AI524530:CM524530 AI196850:CM196850 AI590066:CM590066 AI655602:CM655602 AI15 AI721138:CM721138 AI786674:CM786674 AI852210:CM852210 AI917746:CM917746 AI983282:CM983282 AI65778:CM65778 AI131314:CM131314 AI458994:CM458994 AI262386:CM262386 AI7 AN7 AP7 AU7 AW7 BB7 BD7 BI7 BK7 BP7 BR7 BW7 BY7 CD7 CF7 CK7 CM7 AG46 AI327922:CM327922 AG15 AG7 Z7 AB7 AI393458:CM393458 AI46 AN46 AP46 AU46 AW46 BB46 BD46 BI46 BK46 BP46 BR46 BW46 BY46 CD46 CF46 CK46 CM46 Z46 AB46 Z56 AB56 AG56 AI56 AN56 AP56 AU56 AW56 BB56 BD56 BI56 BK56 BP56 BR56 BW56 BY56 CD56 CF56 CK56 CM56 Z66 AB66 AG66 AI66 AN66 AP66 AU66 AW66 BB66 BD66 BI66 BK66 BP66 BR66 BW66 BY66 CD66 CF66 CK66 CM66 Z76 AB76 AG76 AI76 AN76 AP76 AU76 AW76 BB76 BD76 BI76 BK76 BP76 BR76 BW76 BY76 CD76 CF76 CK76 CM76 Z86 AB86 AG86 AI86 AN86 AP86 AU86 AW86 BB86 BD86 BI86 BK86 BP86 BR86 BW86 BY86 CD86 CF86 CK86 CM86 Z96 AB96 AG96 AI96 AN96 AP96 AU96 AW96 BB96 BD96 BI96 BK96 BP96 BR96 BW96 BY96 CD96 CF96 CK96 CM96 Z106 AB106 AG106 AI106 AN106 AP106 AU106 AW106 BB106 BD106 BI106 BK106 BP106 BR106 BW106 BY106 CD106 CF106 CK106 CM106 Z116 AB116 AG116 AI116 AN116 AP116 AU116 AW116 BB116 BD116 BI116 BK116 BP116 BR116 BW116 BY116 CD116 CF116 CK116 CM116 Z126 AB126 AG126 AI126 AN126 AP126 AU126 AW126 BB126 BD126 BI126 BK126 BP126 BR126 BW126 BY126 CD126 CF126 CK126 CM126 Z136 AB136 AG136 AI136 AN136 AP136 AU136 AW136 BB136 BD136 BI136 BK136 BP136 BR136 BW136 BY136 CD136 CF136 CK136 CM136 Z146 AB146 AG146 AI146 AN146 AP146 AU146 AW146 BB146 BD146 BI146 BK146 BP146 BR146 BW146 BY146 CD146 CF146 CK146 CM146 Z156 AB156 AG156 AI156 AN156 AP156 AU156 AW156 BB156 BD156 BI156 BK156 BP156 BR156 BW156 BY156 CD156 CF156 CK156 CM156 Z166 AB166 AG166 AI166 AN166 AP166 AU166 AW166 BB166 BD166 BI166 BK166 BP166 BR166 BW166 BY166 CD166 CF166 CK166 CM166 Z176 AB176 AG176 AI176 AN176 AP176 AU176 AW176 BB176 BD176 BI176 BK176 BP176 BR176 BW176 BY176 CD176 CF176 CK176 CM176 Z186 AB186 AG186 AI186 AN186 AP186 AU186 AW186 BB186 BD186 BI186 BK186 BP186 BR186 BW186 BY186 CD186 CF186 CK186 CM186 Z196 AB196 AG196 AI196 AN196 AP196 AU196 AW196 BB196 BD196 BI196 BK196 BP196 BR196 BW196 BY196 CD196 CF196 CK196 CM196 Z206 AB206 AG206 AI206 AN206 AP206 AU206 AW206 BB206 BD206 BI206 BK206 BP206 BR206 BW206 BY206 CD206 CF206 CK206 CM206 Z216 AB216 AG216 AI216 AN216 AP216 AU216 AW216 BB216 BD216 BI216 BK216 BP216 BR216 BW216 BY216 CD216 CF216 CK216 CM216 Z226 AB226 AG226 AI226 AN226 AP226 AU226 AW226 BB226 BD226 BI226 BK226 BP226 BR226 BW226 BY226 CD226 CF226 CK226 CM226 Z236 AB236 AG236 AI236 AN236 AP236 AU236 AW236 BB236 BD236 BI236 BK236 BP236 BR236 BW236 BY236 CD236 CF236 CK236 CM236 Z246 AB246 AG246 AI246 AN246 AP246 AU246 AW246 BB246 BD246 BI246 BK246 BP246 BR246 BW246 BY246 CD246 CF246 CK246 CM2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778 Y131314 Y196850 Y262386 Y327922 Y393458 Y458994 Y524530 Y590066 Y655602 Y721138 Y786674 Y852210 Y917746 Y983282 AA65778 AA131314 AA196850 AA262386 AA327922 AA393458 AA458994 AA524530 AA590066 AA655602 AA721138 AA786674 AA852210 AA917746 AA983282 AF15 AF65778 AF131314 AF196850 AF262386 AF327922 AF393458 AF458994 AF524530 AF590066 AF655602 AF721138 AF786674 AF852210 AF917746 AF983282 AH65778 AH131314 AH196850 AH262386 AH327922 AH393458 AH458994 AH524530 AH590066 AH655602 AH721138 AH786674 AH852210 AH917746 AH983282 AH46 AF46 AH15 AH7 AF7 Y7 AA7 Y46 AA46 Y56 AA56 AF56 AH56 Y66 AA66 AF66 AH66 Y76 AA76 AF76 AH76 Y86 AA86 AF86 AH86 Y96 AA96 AF96 AH96 Y106 AA106 AF106 AH106 Y116 AA116 AF116 AH116 Y126 AA126 AF126 AH126 Y136 AA136 AF136 AH136 Y146 AA146 AF146 AH146 Y156 AA156 AF156 AH156 Y166 AA166 AF166 AH166 Y176 AA176 AF176 AH176 Y186 AA186 AF186 AH186 Y196 AA196 AF196 AH196 Y206 AA206 AF206 AH206 Y216 AA216 AF216 AH216 Y226 AA226 AF226 AH226 Y236 AA236 AF236 AH236 Y246 AA246 AF246 AH246 AM7 AO7 AM46 AO46 AM56 AO56 AM66 AO66 AM76 AO76 AM86 AO86 AM96 AO96 AM106 AO106 AM116 AO116 AM126 AO126 AM136 AO136 AM146 AO146 AM156 AO156 AM166 AO166 AM176 AO176 AM186 AO186 AM196 AO196 AM206 AO206 AM216 AO216 AM226 AO226 AM236 AO236 AM246 AO246 AT7 AV7 AT46 AV46 AT56 AV56 AT66 AV66 AT76 AV76 AT86 AV86 AT96 AV96 AT106 AV106 AT116 AV116 AT126 AV126 AT136 AV136 AT146 AV146 AT156 AV156 AT166 AV166 AT176 AV176 AT186 AV186 AT196 AV196 AT206 AV206 AT216 AV216 AT226 AV226 AT236 AV236 AT246 AV246 BA7 BC7 BA46 BC46 BA56 BC56 BA66 BC66 BA76 BC76 BA86 BC86 BA96 BC96 BA106 BC106 BA116 BC116 BA126 BC126 BA136 BC136 BA146 BC146 BA156 BC156 BA166 BC166 BA176 BC176 BA186 BC186 BA196 BC196 BA206 BC206 BA216 BC216 BA226 BC226 BA236 BC236 BA246 BC246 BH7 BJ7 BH46 BJ46 BH56 BJ56 BH66 BJ66 BH76 BJ76 BH86 BJ86 BH96 BJ96 BH106 BJ106 BH116 BJ116 BH126 BJ126 BH136 BJ136 BH146 BJ146 BH156 BJ156 BH166 BJ166 BH176 BJ176 BH186 BJ186 BH196 BJ196 BH206 BJ206 BH216 BJ216 BH226 BJ226 BH236 BJ236 BH246 BJ246 BO7 BQ7 BO46 BQ46 BO56 BQ56 BO66 BQ66 BO76 BQ76 BO86 BQ86 BO96 BQ96 BO106 BQ106 BO116 BQ116 BO126 BQ126 BO136 BQ136 BO146 BQ146 BO156 BQ156 BO166 BQ166 BO176 BQ176 BO186 BQ186 BO196 BQ196 BO206 BQ206 BO216 BQ216 BO226 BQ226 BO236 BQ236 BO246 BQ246 BV7 BX7 BV46 BX46 BV56 BX56 BV66 BX66 BV76 BX76 BV86 BX86 BV96 BX96 BV106 BX106 BV116 BX116 BV126 BX126 BV136 BX136 BV146 BX146 BV156 BX156 BV166 BX166 BV176 BX176 BV186 BX186 BV196 BX196 BV206 BX206 BV216 BX216 BV226 BX226 BV236 BX236 BV246 BX246 CC7 CE7 CC46 CE46 CC56 CE56 CC66 CE66 CC76 CE76 CC86 CE86 CC96 CE96 CC106 CE106 CC116 CE116 CC126 CE126 CC136 CE136 CC146 CE146 CC156 CE156 CC166 CE166 CC176 CE176 CC186 CE186 CC196 CE196 CC206 CE206 CC216 CE216 CC226 CE226 CC236 CE236 CC246 CE246 CJ7 CL7 CJ46 CL46 CJ56 CL56 CJ66 CL66 CJ76 CL76 CJ86 CL86 CJ96 CL96 CJ106 CL106 CJ116 CL116 CJ126 CL126 CJ136 CL136 CJ146 CL146 CJ156 CL156 CJ166 CL166 CJ176 CL176 CJ186 CL186 CJ196 CL196 CJ206 CL206 CJ216 CL216 CJ226 CL226 CJ236 CL236 CJ246 CL246"/>
    <dataValidation type="list" allowBlank="1" showInputMessage="1" showErrorMessage="1" errorTitle="Ошибка" error="Выберите значение из списка" sqref="T65778 T131314 T196850 T262386 T327922 T393458 T458994 T524530 T590066 T655602 T721138 T786674 T852210 T917746 T983282">
      <formula1>kind_of_heat_transfer</formula1>
    </dataValidation>
    <dataValidation type="textLength" operator="lessThanOrEqual" allowBlank="1" showInputMessage="1" showErrorMessage="1" errorTitle="Ошибка" error="Допускается ввод не более 900 символов!" sqref="CO65772:CO65779 CO131308:CO131315 CO196844:CO196851 CO262380:CO262387 CO327916:CO327923 CO393452:CO393459 CO458988:CO458995 CO524524:CO524531 CO590060:CO590067 CO655596:CO655603 CO721132:CO721139 CO786668:CO786675 CO852204:CO852211 CO917740:CO917747 CO983276:CO983283 T46 T7 AC5:AI5 CN5 AC44:AI44 CN44 AC54 AD54 AE54 AF54 AG54 AH54 AI54 CN54 T56 AC64 AD64 AE64 AF64 AG64 AH64 AI64 CN64 T66 AC74 AD74 AE74 AF74 AG74 AH74 AI74 CN74 T76 AC84 AD84 AE84 AF84 AG84 AH84 AI84 CN84 T86 AC94 AD94 AE94 AF94 AG94 AH94 AI94 CN94 T96 AC104 AD104 AE104 AF104 AG104 AH104 AI104 CN104 T106 AC114 AD114 AE114 AF114 AG114 AH114 AI114 CN114 T116 AC124 AD124 AE124 AF124 AG124 AH124 AI124 CN124 T126 AC134 AD134 AE134 AF134 AG134 AH134 AI134 CN134 T136 AC144 AD144 AE144 AF144 AG144 AH144 AI144 CN144 T146 AC154 AD154 AE154 AF154 AG154 AH154 AI154 CN154 T156 AC164 AD164 AE164 AF164 AG164 AH164 AI164 CN164 T166 AC174 AD174 AE174 AF174 AG174 AH174 AI174 CN174 T176 AC184 AD184 AE184 AF184 AG184 AH184 AI184 CN184 T186 AC194 AD194 AE194 AF194 AG194 AH194 AI194 CN194 T196 AC204 AD204 AE204 AF204 AG204 AH204 AI204 CN204 T206 AC214 AD214 AE214 AF214 AG214 AH214 AI214 CN214 T216 AC224 AD224 AE224 AF224 AG224 AH224 AI224 CN224 T226 AC234 AD234 AE234 AF234 AG234 AH234 AI234 CN234 T236 AC244 AD244 AE244 AF244 AG244 AH244 AI244 CN244 T246">
      <formula1>900</formula1>
    </dataValidation>
    <dataValidation type="list" allowBlank="1" showInputMessage="1" showErrorMessage="1" errorTitle="Ошибка" error="Выберите значение из списка" sqref="V983280 V65776 V131312 V196848 V262384 V327920 V393456 V458992 V524528 V590064 V655600 V721136 V786672 V852208 V917744 AC983280 AC65776 AC131312 AC196848 AC262384 AC327920 AC393456 AC458992 AC524528 AC590064 AC655600 AC721136 AC786672 AC852208 AC917744">
      <formula1>kind_of_scheme_in</formula1>
    </dataValidation>
    <dataValidation allowBlank="1" promptTitle="checkPeriodRange" sqref="X65779 X131315 X196851 X262387 X327923 X393459 X458995 X524531 X590067 X655603 X721139 X786675 X852211 X917747 X983283 AE16 AE65779 AE131315 AE196851 AE262387 AE327923 AE393459 AE458995 AE524531 AE590067 AE655603 AE721139 AE786675 AE852211 AE917747 AE983283 AE47 AE8 X8 X47 X57 AE57 X67 AE67 X77 AE77 X87 AE87 X97 AE97 X107 AE107 X117 AE117 X127 AE127 X137 AE137 X147 AE147 X157 AE157 X167 AE167 X177 AE177 X187 AE187 X197 AE197 X207 AE207 X217 AE217 X227 AE227 X237 AE237 X247 AE247 AL8 AL47 AL57 AL67 AL77 AL87 AL97 AL107 AL117 AL127 AL137 AL147 AL157 AL167 AL177 AL187 AL197 AL207 AL217 AL227 AL237 AL247 AS8 AS47 AS57 AS67 AS77 AS87 AS97 AS107 AS117 AS127 AS137 AS147 AS157 AS167 AS177 AS187 AS197 AS207 AS217 AS227 AS237 AS247 AZ8 AZ47 AZ57 AZ67 AZ77 AZ87 AZ97 AZ107 AZ117 AZ127 AZ137 AZ147 AZ157 AZ167 AZ177 AZ187 AZ197 AZ207 AZ217 AZ227 AZ237 AZ247 BG8 BG47 BG57 BG67 BG77 BG87 BG97 BG107 BG117 BG127 BG137 BG147 BG157 BG167 BG177 BG187 BG197 BG207 BG217 BG227 BG237 BG247 BN8 BN47 BN57 BN67 BN77 BN87 BN97 BN107 BN117 BN127 BN137 BN147 BN157 BN167 BN177 BN187 BN197 BN207 BN217 BN227 BN237 BN247 BU8 BU47 BU57 BU67 BU77 BU87 BU97 BU107 BU117 BU127 BU137 BU147 BU157 BU167 BU177 BU187 BU197 BU207 BU217 BU227 BU237 BU247 CB8 CB47 CB57 CB67 CB77 CB87 CB97 CB107 CB117 CB127 CB137 CB147 CB157 CB167 CB177 CB187 CB197 CB207 CB217 CB227 CB237 CB247 CI8 CI47 CI57 CI67 CI77 CI87 CI97 CI107 CI117 CI127 CI137 CI147 CI157 CI167 CI177 CI187 CI197 CI207 CI217 CI227 CI237 CI2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2257FF-51A7-FFFF-A528-CE291C4B839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29" style="1642" width="24.7109375" customWidth="1"/>
    <col min="30" max="31" style="1642" width="24.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22.5" hidden="1">
      <c r="X1" s="334"/>
      <c r="Y1" s="334"/>
      <c r="AE1" s="334"/>
      <c r="AF1" s="334"/>
      <c r="AQ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464">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51"/>
      <c r="AK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7"/>
      <c r="AN2" s="507" t="str">
        <f>IF(T2="","",T2)</f>
        <v>Наименование тарифа</v>
      </c>
      <c r="AO2" s="507"/>
      <c r="AP2" s="507"/>
      <c r="AQ2" s="1162">
        <v>0</v>
      </c>
    </row>
    <row customHeight="1" ht="23.25" hidden="1">
      <c r="A3" s="1370"/>
      <c r="B3" s="1370"/>
      <c r="C3" s="1370"/>
      <c r="D3" s="1370"/>
      <c r="E3" s="2266"/>
      <c r="F3" s="2265">
        <v>1</v>
      </c>
      <c r="G3" s="1370"/>
      <c r="H3" s="1370"/>
      <c r="I3" s="1370"/>
      <c r="J3" s="1370"/>
      <c r="K3" s="1370"/>
      <c r="L3" s="1371"/>
      <c r="M3" s="1372"/>
      <c r="N3" s="1372"/>
      <c r="O3" s="1372"/>
      <c r="P3" s="1460"/>
      <c r="Q3" s="359"/>
      <c r="R3" s="360"/>
      <c r="S3" s="1464">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51"/>
      <c r="AK3" s="1265" t="s">
        <v>561</v>
      </c>
      <c r="AM3" s="507"/>
      <c r="AN3" s="507" t="str">
        <f>IF(T3="","",T3)</f>
        <v>Территория действия тарифа</v>
      </c>
      <c r="AO3" s="507"/>
      <c r="AP3" s="507"/>
      <c r="AQ3" s="1162">
        <v>0</v>
      </c>
    </row>
    <row customHeight="1" ht="23.25" hidden="1">
      <c r="A4" s="1370"/>
      <c r="B4" s="1370"/>
      <c r="C4" s="1370"/>
      <c r="D4" s="1370"/>
      <c r="E4" s="2266"/>
      <c r="F4" s="2266"/>
      <c r="G4" s="2265">
        <v>1</v>
      </c>
      <c r="H4" s="1370"/>
      <c r="I4" s="1370"/>
      <c r="J4" s="1370"/>
      <c r="K4" s="1370"/>
      <c r="L4" s="1371"/>
      <c r="M4" s="1372"/>
      <c r="N4" s="1372"/>
      <c r="O4" s="1372"/>
      <c r="P4" s="361"/>
      <c r="Q4" s="359"/>
      <c r="R4" s="360"/>
      <c r="S4" s="1464">
        <f>INDEX(PT_DIFFERENTIATION_NUM_CS,MATCH(C4,PT_DIFFERENTIATION_CS_ID,0))</f>
      </c>
      <c r="T4" s="316" t="s">
        <v>641</v>
      </c>
      <c r="U4" s="307"/>
      <c r="V4" s="2249"/>
      <c r="W4" s="2250"/>
      <c r="X4" s="2250"/>
      <c r="Y4" s="2250"/>
      <c r="Z4" s="2250"/>
      <c r="AA4" s="2250"/>
      <c r="AB4" s="2251"/>
      <c r="AC4" s="2249">
        <f>INDEX(PT_DIFFERENTIATION_CS,MATCH(C4,PT_DIFFERENTIATION_CS_ID,0))</f>
      </c>
      <c r="AD4" s="2250"/>
      <c r="AE4" s="2250"/>
      <c r="AF4" s="2250"/>
      <c r="AG4" s="2250"/>
      <c r="AH4" s="2250"/>
      <c r="AI4" s="2250"/>
      <c r="AJ4" s="2251"/>
      <c r="AK4" s="1265" t="s">
        <v>642</v>
      </c>
      <c r="AM4" s="507"/>
      <c r="AN4" s="507" t="str">
        <f>IF(T4="","",T4)</f>
        <v>Наименование централизованной системы холодного водоснабжения</v>
      </c>
      <c r="AO4" s="507"/>
      <c r="AP4" s="507"/>
      <c r="AQ4" s="1162">
        <v>0</v>
      </c>
    </row>
    <row customHeight="1" ht="23.25" hidden="1">
      <c r="A5" s="1370"/>
      <c r="B5" s="1370"/>
      <c r="C5" s="1370"/>
      <c r="D5" s="1370"/>
      <c r="E5" s="2266"/>
      <c r="F5" s="2266"/>
      <c r="G5" s="2266"/>
      <c r="H5" s="2266"/>
      <c r="I5" s="2263">
        <f>S4&amp;".1"</f>
      </c>
      <c r="J5" s="1370"/>
      <c r="K5" s="1370"/>
      <c r="L5" s="1371"/>
      <c r="P5" s="2264">
        <v>1</v>
      </c>
      <c r="Q5" s="1457"/>
      <c r="R5" s="363"/>
      <c r="S5" s="1464">
        <f>$I5</f>
      </c>
      <c r="T5" s="292" t="s">
        <v>643</v>
      </c>
      <c r="U5" s="307"/>
      <c r="V5" s="2357"/>
      <c r="W5" s="2358"/>
      <c r="X5" s="2358"/>
      <c r="Y5" s="2358"/>
      <c r="Z5" s="2358"/>
      <c r="AA5" s="2358"/>
      <c r="AB5" s="2359"/>
      <c r="AC5" s="2360"/>
      <c r="AD5" s="2361"/>
      <c r="AE5" s="2361"/>
      <c r="AF5" s="2361"/>
      <c r="AG5" s="2361"/>
      <c r="AH5" s="2361"/>
      <c r="AI5" s="2361"/>
      <c r="AJ5" s="2362"/>
      <c r="AK5" s="1265" t="s">
        <v>644</v>
      </c>
      <c r="AM5" s="507"/>
      <c r="AN5" s="507" t="str">
        <f>IF(T5="","",T5)</f>
        <v>Наименование признака дифференциации</v>
      </c>
      <c r="AO5" s="507"/>
      <c r="AP5" s="507"/>
      <c r="AQ5" s="1162">
        <v>0</v>
      </c>
    </row>
    <row customHeight="1" ht="23.25" hidden="1">
      <c r="A6" s="1370"/>
      <c r="B6" s="1370"/>
      <c r="C6" s="1370"/>
      <c r="D6" s="1370"/>
      <c r="E6" s="2266"/>
      <c r="F6" s="2266"/>
      <c r="G6" s="2266"/>
      <c r="H6" s="2266"/>
      <c r="I6" s="2293"/>
      <c r="J6" s="2263">
        <f>I5&amp;".1"</f>
      </c>
      <c r="K6" s="1370"/>
      <c r="L6" s="1371" t="s">
        <v>569</v>
      </c>
      <c r="P6" s="2264"/>
      <c r="Q6" s="2264">
        <v>1</v>
      </c>
      <c r="R6" s="364"/>
      <c r="S6" s="1464">
        <f>$J6</f>
      </c>
      <c r="T6" s="293" t="s">
        <v>570</v>
      </c>
      <c r="U6" s="307"/>
      <c r="V6" s="2252"/>
      <c r="W6" s="2253"/>
      <c r="X6" s="2253"/>
      <c r="Y6" s="2253"/>
      <c r="Z6" s="2253"/>
      <c r="AA6" s="2253"/>
      <c r="AB6" s="2254"/>
      <c r="AC6" s="2252"/>
      <c r="AD6" s="2253"/>
      <c r="AE6" s="2253"/>
      <c r="AF6" s="2253"/>
      <c r="AG6" s="2253"/>
      <c r="AH6" s="2253"/>
      <c r="AI6" s="2253"/>
      <c r="AJ6" s="2254"/>
      <c r="AK6" s="1314" t="s">
        <v>645</v>
      </c>
      <c r="AM6" s="507"/>
      <c r="AN6" s="507" t="str">
        <f>IF(T6="","",T6)</f>
        <v>Группа потребителей</v>
      </c>
      <c r="AO6" s="507"/>
      <c r="AP6" s="507"/>
      <c r="AQ6" s="1162">
        <v>0</v>
      </c>
    </row>
    <row customHeight="1" ht="23.25" hidden="1">
      <c r="A7" s="1370"/>
      <c r="B7" s="1370"/>
      <c r="C7" s="1370"/>
      <c r="D7" s="1370"/>
      <c r="E7" s="2266"/>
      <c r="F7" s="2266"/>
      <c r="G7" s="2266"/>
      <c r="H7" s="2266"/>
      <c r="I7" s="2293"/>
      <c r="J7" s="2293"/>
      <c r="K7" s="2263">
        <f>J6&amp;".1"</f>
      </c>
      <c r="L7" s="1371"/>
      <c r="P7" s="2264"/>
      <c r="Q7" s="2264"/>
      <c r="R7" s="364">
        <v>1</v>
      </c>
      <c r="S7" s="1464">
        <f>$K7</f>
      </c>
      <c r="T7" s="1444"/>
      <c r="U7" s="307"/>
      <c r="V7" s="758"/>
      <c r="W7" s="758"/>
      <c r="X7" s="1264"/>
      <c r="Y7" s="2272"/>
      <c r="Z7" s="2114" t="s">
        <v>66</v>
      </c>
      <c r="AA7" s="2272"/>
      <c r="AB7" s="2114" t="s">
        <v>66</v>
      </c>
      <c r="AC7" s="758"/>
      <c r="AD7" s="758"/>
      <c r="AE7" s="1264"/>
      <c r="AF7" s="2272"/>
      <c r="AG7" s="2114" t="s">
        <v>66</v>
      </c>
      <c r="AH7" s="2294"/>
      <c r="AI7" s="2114" t="s">
        <v>66</v>
      </c>
      <c r="AJ7" s="1445"/>
      <c r="AK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8">
        <f>STRCHECKDATE(V8:AJ8)</f>
      </c>
      <c r="AM7" s="507"/>
      <c r="AN7" s="507" t="str">
        <f>IF(T7="","",T7)</f>
        <v/>
      </c>
      <c r="AO7" s="507"/>
      <c r="AP7" s="507"/>
      <c r="AQ7" s="1162">
        <v>0</v>
      </c>
    </row>
    <row customHeight="1" ht="14.25" hidden="1">
      <c r="A8" s="1370"/>
      <c r="B8" s="1370"/>
      <c r="C8" s="1370"/>
      <c r="D8" s="1370"/>
      <c r="E8" s="2266"/>
      <c r="F8" s="2266"/>
      <c r="G8" s="2266"/>
      <c r="H8" s="2266"/>
      <c r="I8" s="2293"/>
      <c r="J8" s="2293"/>
      <c r="K8" s="2263"/>
      <c r="L8" s="1371"/>
      <c r="P8" s="2264"/>
      <c r="Q8" s="2264"/>
      <c r="R8" s="364"/>
      <c r="S8" s="1463"/>
      <c r="T8" s="307"/>
      <c r="U8" s="307"/>
      <c r="V8" s="332"/>
      <c r="W8" s="332"/>
      <c r="X8" s="335" t="str">
        <f>Y7&amp;"-"&amp;AA7</f>
        <v>-</v>
      </c>
      <c r="Y8" s="2273"/>
      <c r="Z8" s="2114"/>
      <c r="AA8" s="2273"/>
      <c r="AB8" s="2114"/>
      <c r="AC8" s="332"/>
      <c r="AD8" s="332"/>
      <c r="AE8" s="335" t="str">
        <f>AF7&amp;"-"&amp;AH7</f>
        <v>-</v>
      </c>
      <c r="AF8" s="2273"/>
      <c r="AG8" s="2114"/>
      <c r="AH8" s="2295"/>
      <c r="AI8" s="2114"/>
      <c r="AJ8" s="1446"/>
      <c r="AK8" s="2356"/>
      <c r="AM8" s="507"/>
      <c r="AN8" s="507" t="str">
        <f>IF(T8="","",T8)</f>
        <v/>
      </c>
      <c r="AO8" s="507"/>
      <c r="AP8" s="507"/>
      <c r="AQ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374"/>
      <c r="AK9" s="1265" t="s">
        <v>647</v>
      </c>
      <c r="AM9" s="507"/>
      <c r="AN9" s="507" t="str">
        <f>IF(T9="","",T9)</f>
        <v>Добавить значение признака дифференциации</v>
      </c>
      <c r="AO9" s="507"/>
      <c r="AP9" s="507"/>
      <c r="AQ9" s="1162">
        <v>0</v>
      </c>
    </row>
    <row customHeight="1" ht="21" hidden="1">
      <c r="A10" s="1370"/>
      <c r="B10" s="1370"/>
      <c r="C10" s="1370"/>
      <c r="D10" s="1370"/>
      <c r="E10" s="2266"/>
      <c r="F10" s="2266"/>
      <c r="G10" s="2266"/>
      <c r="H10" s="2266"/>
      <c r="I10" s="2263"/>
      <c r="J10" s="1370"/>
      <c r="K10" s="1370"/>
      <c r="L10" s="1371"/>
      <c r="P10" s="2264"/>
      <c r="Q10" s="1457"/>
      <c r="R10" s="363"/>
      <c r="S10" s="1285"/>
      <c r="T10" s="372" t="s">
        <v>575</v>
      </c>
      <c r="U10" s="374"/>
      <c r="V10" s="374"/>
      <c r="W10" s="374"/>
      <c r="X10" s="374"/>
      <c r="Y10" s="374"/>
      <c r="Z10" s="374"/>
      <c r="AA10" s="374"/>
      <c r="AB10" s="373"/>
      <c r="AC10" s="374"/>
      <c r="AD10" s="374"/>
      <c r="AE10" s="374"/>
      <c r="AF10" s="374"/>
      <c r="AG10" s="374"/>
      <c r="AH10" s="374"/>
      <c r="AI10" s="373"/>
      <c r="AJ10" s="374"/>
      <c r="AK10" s="1447"/>
      <c r="AM10" s="507"/>
      <c r="AN10" s="507" t="str">
        <f>IF(T10="","",T10)</f>
        <v>Добавить группу потребителей</v>
      </c>
      <c r="AO10" s="507"/>
      <c r="AP10" s="507"/>
      <c r="AQ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374"/>
      <c r="AK11" s="310"/>
      <c r="AM11" s="507"/>
      <c r="AN11" s="507" t="str">
        <f>IF(T11="","",T11)</f>
        <v>Добавить наименование признака дифференциации</v>
      </c>
      <c r="AO11" s="507"/>
      <c r="AP11" s="507"/>
      <c r="AQ11" s="1162">
        <v>0</v>
      </c>
    </row>
    <row s="1649" customFormat="1" customHeight="1" ht="14.25" hidden="1">
      <c r="A12" s="1350"/>
      <c r="B12" s="1350"/>
      <c r="C12" s="1321"/>
      <c r="D12" s="1321"/>
      <c r="E12" s="2266"/>
      <c r="F12" s="2265"/>
      <c r="G12" s="1321"/>
      <c r="H12" s="1321"/>
      <c r="I12" s="1321"/>
      <c r="J12" s="1321"/>
      <c r="K12" s="1321"/>
      <c r="L12" s="1465"/>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M12" s="796"/>
      <c r="AN12" s="796" t="str">
        <f>IF(T12="","",T12)</f>
        <v>Добавить централизованную систему для дифференциации</v>
      </c>
      <c r="AO12" s="796"/>
      <c r="AP12" s="796"/>
      <c r="AQ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M13" s="507"/>
      <c r="AN13" s="507" t="str">
        <f>IF(T13="","",T13)</f>
        <v>Добавить территорию для дифференциации</v>
      </c>
      <c r="AO13" s="507"/>
      <c r="AP13" s="507"/>
      <c r="AQ13" s="518">
        <v>0</v>
      </c>
    </row>
    <row customHeight="1" ht="14.25" hidden="1">
      <c r="AB14" s="334"/>
      <c r="AI14" s="334"/>
      <c r="AQ14" s="1162">
        <v>0</v>
      </c>
    </row>
    <row customHeight="1" ht="14.25" hidden="1">
      <c r="AC15" s="1367"/>
      <c r="AD15" s="1367"/>
      <c r="AE15" s="1368"/>
      <c r="AF15" s="2274"/>
      <c r="AG15" s="2275" t="s">
        <v>66</v>
      </c>
      <c r="AH15" s="2274"/>
      <c r="AI15" s="2275" t="s">
        <v>66</v>
      </c>
      <c r="AQ15" s="1162">
        <v>0</v>
      </c>
    </row>
    <row customHeight="1" ht="14.25" hidden="1">
      <c r="AC16" s="1367"/>
      <c r="AD16" s="1367"/>
      <c r="AE16" s="335" t="str">
        <f>AF15&amp;"-"&amp;AH15</f>
        <v>-</v>
      </c>
      <c r="AF16" s="2275"/>
      <c r="AG16" s="2275"/>
      <c r="AH16" s="2275"/>
      <c r="AI16" s="2275"/>
      <c r="AQ16" s="1162">
        <v>0</v>
      </c>
    </row>
    <row customHeight="1" ht="14.25" hidden="1">
      <c r="AI17" s="334"/>
      <c r="AQ17" s="1162">
        <v>0</v>
      </c>
    </row>
    <row s="1373" customFormat="1" customHeight="1" ht="22.5" hidden="1">
      <c r="L18" s="1454"/>
      <c r="M18" s="1369"/>
      <c r="N18" s="1369"/>
      <c r="O18" s="1374" t="s">
        <v>578</v>
      </c>
      <c r="P18" s="1369"/>
      <c r="Q18" s="1378"/>
      <c r="R18" s="1378"/>
      <c r="S18" s="736"/>
      <c r="Y18" s="1374"/>
      <c r="AA18" s="1374"/>
      <c r="AB18" s="1373"/>
      <c r="AF18" s="1374"/>
      <c r="AH18" s="1374"/>
      <c r="AI18" s="1373"/>
      <c r="AL18" s="518"/>
      <c r="AM18" s="518"/>
      <c r="AN18" s="518"/>
      <c r="AO18" s="518"/>
      <c r="AP18" s="518"/>
      <c r="AQ18" s="1167">
        <v>0</v>
      </c>
    </row>
    <row s="1373" customFormat="1" customHeight="1" ht="14.25" hidden="1">
      <c r="L19" s="1454"/>
      <c r="M19" s="1369"/>
      <c r="N19" s="1369"/>
      <c r="O19" s="1369"/>
      <c r="P19" s="1369"/>
      <c r="Q19" s="1378"/>
      <c r="R19" s="1378"/>
      <c r="S19" s="736"/>
      <c r="AB19" s="1373"/>
      <c r="AI19" s="1373"/>
      <c r="AL19" s="518"/>
      <c r="AM19" s="518"/>
      <c r="AN19" s="518"/>
      <c r="AO19" s="518"/>
      <c r="AP19" s="518"/>
      <c r="AQ19" s="1167">
        <v>0</v>
      </c>
    </row>
    <row s="1373" customFormat="1" customHeight="1" ht="12" hidden="1">
      <c r="L20" s="1454"/>
      <c r="M20" s="1369"/>
      <c r="N20" s="1369"/>
      <c r="O20" s="1371" t="s">
        <v>579</v>
      </c>
      <c r="P20" s="1369"/>
      <c r="Q20" s="1449"/>
      <c r="R20" s="1449"/>
      <c r="S20" s="736"/>
      <c r="T20" s="1167" t="s">
        <v>580</v>
      </c>
      <c r="Z20" s="193" t="s">
        <v>581</v>
      </c>
      <c r="AB20" s="193" t="s">
        <v>582</v>
      </c>
      <c r="AC20" s="1167" t="s">
        <v>580</v>
      </c>
      <c r="AG20" s="193" t="s">
        <v>583</v>
      </c>
      <c r="AI20" s="193" t="s">
        <v>582</v>
      </c>
      <c r="AQ20" s="1167">
        <v>0</v>
      </c>
    </row>
    <row customHeight="1" ht="14.25" hidden="1">
      <c r="O21" s="1371"/>
      <c r="AQ21" s="1162">
        <v>0</v>
      </c>
    </row>
    <row customHeight="1" ht="14.25" hidden="1">
      <c r="O22" s="1371"/>
      <c r="AQ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Q23" s="1162">
        <v>14</v>
      </c>
    </row>
    <row customHeight="1" ht="14.699999999999998">
      <c r="Q24" s="383"/>
      <c r="R24" s="383"/>
      <c r="S24" s="225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5"/>
      <c r="U24" s="2255"/>
      <c r="V24" s="2255"/>
      <c r="W24" s="2255"/>
      <c r="X24" s="2255"/>
      <c r="Y24" s="2255"/>
      <c r="Z24" s="2255"/>
      <c r="AA24" s="2255"/>
      <c r="AB24" s="2255"/>
      <c r="AC24" s="2255"/>
      <c r="AD24" s="2255"/>
      <c r="AE24" s="2255"/>
      <c r="AF24" s="2255"/>
      <c r="AG24" s="2255"/>
      <c r="AH24" s="2255"/>
      <c r="AI24" s="1250"/>
      <c r="AQ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516"/>
      <c r="AQ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333"/>
      <c r="AK27" s="287"/>
      <c r="AL27" s="375"/>
      <c r="AM27" s="375"/>
      <c r="AN27" s="375"/>
      <c r="AO27" s="375"/>
      <c r="AP27" s="375"/>
      <c r="AQ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333"/>
      <c r="AK28" s="287"/>
      <c r="AL28" s="375"/>
      <c r="AM28" s="375"/>
      <c r="AN28" s="375"/>
      <c r="AO28" s="375"/>
      <c r="AP28" s="375"/>
      <c r="AQ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333"/>
      <c r="AK29" s="287"/>
      <c r="AL29" s="375"/>
      <c r="AM29" s="375"/>
      <c r="AN29" s="375"/>
      <c r="AO29" s="375"/>
      <c r="AP29" s="375"/>
      <c r="AQ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333"/>
      <c r="AK30" s="287"/>
      <c r="AL30" s="375"/>
      <c r="AM30" s="375"/>
      <c r="AN30" s="375"/>
      <c r="AO30" s="375"/>
      <c r="AP30" s="375"/>
      <c r="AQ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516"/>
      <c r="AQ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333"/>
      <c r="AK32" s="287"/>
      <c r="AL32" s="375"/>
      <c r="AM32" s="375"/>
      <c r="AN32" s="375"/>
      <c r="AO32" s="375"/>
      <c r="AP32" s="375"/>
      <c r="AQ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333"/>
      <c r="AK33" s="287"/>
      <c r="AL33" s="375"/>
      <c r="AM33" s="375"/>
      <c r="AN33" s="375"/>
      <c r="AO33" s="375"/>
      <c r="AP33" s="375"/>
      <c r="AQ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61"/>
      <c r="V34" s="333"/>
      <c r="W34" s="333"/>
      <c r="X34" s="333"/>
      <c r="Y34" s="333"/>
      <c r="Z34" s="333"/>
      <c r="AA34" s="333"/>
      <c r="AB34" s="285" t="s">
        <v>588</v>
      </c>
      <c r="AC34" s="333"/>
      <c r="AD34" s="333"/>
      <c r="AE34" s="333"/>
      <c r="AF34" s="333"/>
      <c r="AG34" s="333"/>
      <c r="AH34" s="333"/>
      <c r="AI34" s="285" t="s">
        <v>588</v>
      </c>
      <c r="AL34" s="375"/>
      <c r="AM34" s="375"/>
      <c r="AN34" s="375"/>
      <c r="AO34" s="375"/>
      <c r="AP34" s="375"/>
      <c r="AQ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Q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t="s">
        <v>464</v>
      </c>
      <c r="AQ36" s="1162">
        <v>14</v>
      </c>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287" t="s">
        <v>593</v>
      </c>
      <c r="AK37" s="2134"/>
      <c r="AQ37" s="1162">
        <v>14</v>
      </c>
    </row>
    <row customHeight="1" ht="35.699999999999996">
      <c r="Q38" s="383"/>
      <c r="R38" s="383"/>
      <c r="S38" s="2280"/>
      <c r="T38" s="2216"/>
      <c r="U38" s="1038"/>
      <c r="V38" s="1459" t="s">
        <v>649</v>
      </c>
      <c r="W38" s="2269" t="s">
        <v>596</v>
      </c>
      <c r="X38" s="2270"/>
      <c r="Y38" s="2269" t="s">
        <v>597</v>
      </c>
      <c r="Z38" s="2276"/>
      <c r="AA38" s="2270"/>
      <c r="AB38" s="2285"/>
      <c r="AC38" s="1459" t="s">
        <v>649</v>
      </c>
      <c r="AD38" s="2269" t="s">
        <v>596</v>
      </c>
      <c r="AE38" s="2270"/>
      <c r="AF38" s="2269" t="s">
        <v>597</v>
      </c>
      <c r="AG38" s="2276"/>
      <c r="AH38" s="2270"/>
      <c r="AI38" s="2285"/>
      <c r="AJ38" s="2288"/>
      <c r="AK38" s="2134"/>
      <c r="AQ38" s="1162">
        <v>34</v>
      </c>
    </row>
    <row customHeight="1" ht="35.699999999999996">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459" t="s">
        <v>652</v>
      </c>
      <c r="W39" s="1229" t="s">
        <v>653</v>
      </c>
      <c r="X39" s="1229" t="s">
        <v>654</v>
      </c>
      <c r="Y39" s="1462" t="s">
        <v>607</v>
      </c>
      <c r="Z39" s="2277" t="s">
        <v>608</v>
      </c>
      <c r="AA39" s="2278"/>
      <c r="AB39" s="2286"/>
      <c r="AC39" s="1459" t="s">
        <v>652</v>
      </c>
      <c r="AD39" s="1229" t="s">
        <v>653</v>
      </c>
      <c r="AE39" s="1229" t="s">
        <v>654</v>
      </c>
      <c r="AF39" s="1462" t="s">
        <v>607</v>
      </c>
      <c r="AG39" s="2277" t="s">
        <v>608</v>
      </c>
      <c r="AH39" s="2278"/>
      <c r="AI39" s="2286"/>
      <c r="AJ39" s="2289"/>
      <c r="AK39" s="2134"/>
      <c r="AQ39" s="1162">
        <v>34</v>
      </c>
    </row>
    <row s="1648" customFormat="1" customHeight="1" ht="0">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458">
        <f>OFFSET(V40,0,-1)+1</f>
        <v>3</v>
      </c>
      <c r="W40" s="1458">
        <f>OFFSET(W40,0,-1)+1</f>
        <v>4</v>
      </c>
      <c r="X40" s="1458">
        <f>OFFSET(X40,0,-1)+1</f>
        <v>5</v>
      </c>
      <c r="Y40" s="1458">
        <f>OFFSET(Y40,0,-1)+1</f>
        <v>6</v>
      </c>
      <c r="Z40" s="2279">
        <f>OFFSET(Z40,0,-1)+1</f>
        <v>7</v>
      </c>
      <c r="AA40" s="2279"/>
      <c r="AB40" s="1458">
        <f>OFFSET(AB40,0,-2)+1</f>
        <v>8</v>
      </c>
      <c r="AC40" s="1458">
        <f>OFFSET(AC40,0,-1)+1</f>
        <v>9</v>
      </c>
      <c r="AD40" s="1458">
        <f>OFFSET(AD40,0,-1)+1</f>
        <v>10</v>
      </c>
      <c r="AE40" s="1458">
        <f>OFFSET(AE40,0,-1)+1</f>
        <v>11</v>
      </c>
      <c r="AF40" s="1458">
        <f>OFFSET(AF40,0,-1)+1</f>
        <v>12</v>
      </c>
      <c r="AG40" s="2279">
        <f>OFFSET(AG40,0,-1)+1</f>
        <v>13</v>
      </c>
      <c r="AH40" s="2279"/>
      <c r="AI40" s="1458">
        <f>OFFSET(AI40,0,-2)+1</f>
        <v>14</v>
      </c>
      <c r="AJ40" s="1252">
        <f>OFFSET(AJ40,0,-1)</f>
        <v>14</v>
      </c>
      <c r="AK40" s="1458">
        <f>OFFSET(AK40,0,-1)+1</f>
        <v>15</v>
      </c>
      <c r="AL40" s="518"/>
      <c r="AM40" s="518"/>
      <c r="AN40" s="518"/>
      <c r="AO40" s="518"/>
      <c r="AP40" s="518"/>
      <c r="AQ40" s="503">
        <v>0</v>
      </c>
    </row>
    <row customHeight="1" ht="24">
      <c r="A41" s="1370" t="s">
        <v>394</v>
      </c>
      <c r="B41" s="1370"/>
      <c r="C41" s="1370"/>
      <c r="D41" s="1370"/>
      <c r="E41" s="2265">
        <v>1</v>
      </c>
      <c r="F41" s="1370"/>
      <c r="G41" s="1370"/>
      <c r="H41" s="1370"/>
      <c r="I41" s="1370"/>
      <c r="J41" s="1370"/>
      <c r="K41" s="1370"/>
      <c r="L41" s="1371"/>
      <c r="M41" s="1372"/>
      <c r="N41" s="1372"/>
      <c r="O41" s="1372"/>
      <c r="P41" s="368"/>
      <c r="Q41" s="367"/>
      <c r="R41" s="362"/>
      <c r="S41" s="1464">
        <f>INDEX(PT_DIFFERENTIATION_NUM_NTAR,MATCH(A41,PT_DIFFERENTIATION_NTAR_ID,0))</f>
        <v>0</v>
      </c>
      <c r="T41" s="305" t="s">
        <v>215</v>
      </c>
      <c r="U41" s="307"/>
      <c r="V41" s="2249"/>
      <c r="W41" s="2250"/>
      <c r="X41" s="2250"/>
      <c r="Y41" s="2250"/>
      <c r="Z41" s="2250"/>
      <c r="AA41" s="2250"/>
      <c r="AB41" s="2251"/>
      <c r="AC41" s="2249" t="str">
        <f>INDEX(PT_DIFFERENTIATION_NTAR,MATCH(A41,PT_DIFFERENTIATION_NTAR_ID,0))</f>
        <v/>
      </c>
      <c r="AD41" s="2250"/>
      <c r="AE41" s="2250"/>
      <c r="AF41" s="2250"/>
      <c r="AG41" s="2250"/>
      <c r="AH41" s="2250"/>
      <c r="AI41" s="2250"/>
      <c r="AJ41" s="2251"/>
      <c r="AK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7"/>
      <c r="AN41" s="507" t="str">
        <f>IF(T41="","",T41)</f>
        <v>Наименование тарифа</v>
      </c>
      <c r="AO41" s="507"/>
      <c r="AP41" s="507"/>
      <c r="AQ41" s="1162">
        <v>23</v>
      </c>
    </row>
    <row customHeight="1" ht="24">
      <c r="A42" s="1370" t="s">
        <v>394</v>
      </c>
      <c r="B42" s="1370" t="s">
        <v>395</v>
      </c>
      <c r="C42" s="1370"/>
      <c r="D42" s="1370"/>
      <c r="E42" s="2266"/>
      <c r="F42" s="2265">
        <v>1</v>
      </c>
      <c r="G42" s="1370"/>
      <c r="H42" s="1370"/>
      <c r="I42" s="1370"/>
      <c r="J42" s="1370"/>
      <c r="K42" s="1370"/>
      <c r="L42" s="1371"/>
      <c r="M42" s="1372"/>
      <c r="N42" s="1372"/>
      <c r="O42" s="1372"/>
      <c r="P42" s="1460"/>
      <c r="Q42" s="359"/>
      <c r="R42" s="360"/>
      <c r="S42" s="1464" t="str">
        <f>INDEX(PT_DIFFERENTIATION_NUM_TER,MATCH(B42,PT_DIFFERENTIATION_TER_ID,0))</f>
        <v>.</v>
      </c>
      <c r="T42" s="315" t="s">
        <v>560</v>
      </c>
      <c r="U42" s="307"/>
      <c r="V42" s="2249"/>
      <c r="W42" s="2250"/>
      <c r="X42" s="2250"/>
      <c r="Y42" s="2250"/>
      <c r="Z42" s="2250"/>
      <c r="AA42" s="2250"/>
      <c r="AB42" s="2251"/>
      <c r="AC42" s="2249" t="str">
        <f>INDEX(PT_DIFFERENTIATION_TER,MATCH(B42,PT_DIFFERENTIATION_TER_ID,0))</f>
        <v/>
      </c>
      <c r="AD42" s="2250"/>
      <c r="AE42" s="2250"/>
      <c r="AF42" s="2250"/>
      <c r="AG42" s="2250"/>
      <c r="AH42" s="2250"/>
      <c r="AI42" s="2250"/>
      <c r="AJ42" s="2251"/>
      <c r="AK42" s="1265" t="s">
        <v>561</v>
      </c>
      <c r="AM42" s="507"/>
      <c r="AN42" s="507" t="str">
        <f>IF(T42="","",T42)</f>
        <v>Территория действия тарифа</v>
      </c>
      <c r="AO42" s="507"/>
      <c r="AP42" s="507"/>
      <c r="AQ42" s="1162">
        <v>23</v>
      </c>
    </row>
    <row customHeight="1" ht="24">
      <c r="A43" s="1370" t="s">
        <v>394</v>
      </c>
      <c r="B43" s="1370" t="s">
        <v>395</v>
      </c>
      <c r="C43" s="1370" t="s">
        <v>396</v>
      </c>
      <c r="D43" s="1370"/>
      <c r="E43" s="2266"/>
      <c r="F43" s="2266"/>
      <c r="G43" s="2265">
        <v>1</v>
      </c>
      <c r="H43" s="1370"/>
      <c r="I43" s="1370"/>
      <c r="J43" s="1370"/>
      <c r="K43" s="1370"/>
      <c r="L43" s="1371"/>
      <c r="M43" s="1372"/>
      <c r="N43" s="1372"/>
      <c r="O43" s="1372"/>
      <c r="P43" s="361"/>
      <c r="Q43" s="359"/>
      <c r="R43" s="360"/>
      <c r="S43" s="1464" t="str">
        <f>INDEX(PT_DIFFERENTIATION_NUM_CS,MATCH(C43,PT_DIFFERENTIATION_CS_ID,0))</f>
        <v>..</v>
      </c>
      <c r="T43" s="316" t="s">
        <v>641</v>
      </c>
      <c r="U43" s="307"/>
      <c r="V43" s="2249"/>
      <c r="W43" s="2250"/>
      <c r="X43" s="2250"/>
      <c r="Y43" s="2250"/>
      <c r="Z43" s="2250"/>
      <c r="AA43" s="2250"/>
      <c r="AB43" s="2251"/>
      <c r="AC43" s="2249" t="str">
        <f>INDEX(PT_DIFFERENTIATION_CS,MATCH(C43,PT_DIFFERENTIATION_CS_ID,0))</f>
        <v/>
      </c>
      <c r="AD43" s="2250"/>
      <c r="AE43" s="2250"/>
      <c r="AF43" s="2250"/>
      <c r="AG43" s="2250"/>
      <c r="AH43" s="2250"/>
      <c r="AI43" s="2250"/>
      <c r="AJ43" s="2251"/>
      <c r="AK43" s="1265" t="s">
        <v>642</v>
      </c>
      <c r="AM43" s="507"/>
      <c r="AN43" s="507" t="str">
        <f>IF(T43="","",T43)</f>
        <v>Наименование централизованной системы холодного водоснабжения</v>
      </c>
      <c r="AO43" s="507"/>
      <c r="AP43" s="507"/>
      <c r="AQ43" s="1162">
        <v>23</v>
      </c>
    </row>
    <row customHeight="1" ht="24">
      <c r="A44" s="1370" t="s">
        <v>394</v>
      </c>
      <c r="B44" s="1370" t="s">
        <v>395</v>
      </c>
      <c r="C44" s="1370" t="s">
        <v>396</v>
      </c>
      <c r="D44" s="1370" t="s">
        <v>658</v>
      </c>
      <c r="E44" s="2266"/>
      <c r="F44" s="2266"/>
      <c r="G44" s="2266"/>
      <c r="H44" s="2266"/>
      <c r="I44" s="2263" t="str">
        <f>S43&amp;".1"</f>
        <v>...1</v>
      </c>
      <c r="J44" s="1370"/>
      <c r="K44" s="1370"/>
      <c r="L44" s="1371"/>
      <c r="P44" s="2264">
        <v>1</v>
      </c>
      <c r="Q44" s="1457"/>
      <c r="R44" s="363"/>
      <c r="S44" s="1464" t="str">
        <f>$I44</f>
        <v>...1</v>
      </c>
      <c r="T44" s="292" t="s">
        <v>643</v>
      </c>
      <c r="U44" s="307"/>
      <c r="V44" s="2357"/>
      <c r="W44" s="2358"/>
      <c r="X44" s="2358"/>
      <c r="Y44" s="2358"/>
      <c r="Z44" s="2358"/>
      <c r="AA44" s="2358"/>
      <c r="AB44" s="2359"/>
      <c r="AC44" s="2360"/>
      <c r="AD44" s="2361"/>
      <c r="AE44" s="2361"/>
      <c r="AF44" s="2361"/>
      <c r="AG44" s="2361"/>
      <c r="AH44" s="2361"/>
      <c r="AI44" s="2361"/>
      <c r="AJ44" s="2362"/>
      <c r="AK44" s="1265" t="s">
        <v>644</v>
      </c>
      <c r="AM44" s="507"/>
      <c r="AN44" s="507" t="str">
        <f>IF(T44="","",T44)</f>
        <v>Наименование признака дифференциации</v>
      </c>
      <c r="AO44" s="507"/>
      <c r="AP44" s="507"/>
      <c r="AQ44" s="1162">
        <v>23</v>
      </c>
    </row>
    <row customHeight="1" ht="24">
      <c r="A45" s="1370" t="s">
        <v>394</v>
      </c>
      <c r="B45" s="1370" t="s">
        <v>395</v>
      </c>
      <c r="C45" s="1370" t="s">
        <v>396</v>
      </c>
      <c r="D45" s="1370" t="s">
        <v>658</v>
      </c>
      <c r="E45" s="2266"/>
      <c r="F45" s="2266"/>
      <c r="G45" s="2266"/>
      <c r="H45" s="2266"/>
      <c r="I45" s="2293"/>
      <c r="J45" s="2263" t="str">
        <f>I44&amp;".1"</f>
        <v>...1.1</v>
      </c>
      <c r="K45" s="1370"/>
      <c r="L45" s="1371" t="s">
        <v>569</v>
      </c>
      <c r="P45" s="2264"/>
      <c r="Q45" s="2264">
        <v>1</v>
      </c>
      <c r="R45" s="364"/>
      <c r="S45" s="1464" t="str">
        <f>$J45</f>
        <v>...1.1</v>
      </c>
      <c r="T45" s="293" t="s">
        <v>570</v>
      </c>
      <c r="U45" s="307"/>
      <c r="V45" s="2252"/>
      <c r="W45" s="2253"/>
      <c r="X45" s="2253"/>
      <c r="Y45" s="2253"/>
      <c r="Z45" s="2253"/>
      <c r="AA45" s="2253"/>
      <c r="AB45" s="2254"/>
      <c r="AC45" s="2252"/>
      <c r="AD45" s="2253"/>
      <c r="AE45" s="2253"/>
      <c r="AF45" s="2253"/>
      <c r="AG45" s="2253"/>
      <c r="AH45" s="2253"/>
      <c r="AI45" s="2253"/>
      <c r="AJ45" s="2254"/>
      <c r="AK45" s="1314" t="s">
        <v>645</v>
      </c>
      <c r="AM45" s="507"/>
      <c r="AN45" s="507" t="str">
        <f>IF(T45="","",T45)</f>
        <v>Группа потребителей</v>
      </c>
      <c r="AO45" s="507"/>
      <c r="AP45" s="507"/>
      <c r="AQ45" s="1162">
        <v>23</v>
      </c>
    </row>
    <row customHeight="1" ht="24">
      <c r="A46" s="1370" t="s">
        <v>394</v>
      </c>
      <c r="B46" s="1370" t="s">
        <v>395</v>
      </c>
      <c r="C46" s="1370" t="s">
        <v>396</v>
      </c>
      <c r="D46" s="1370" t="s">
        <v>658</v>
      </c>
      <c r="E46" s="2266"/>
      <c r="F46" s="2266"/>
      <c r="G46" s="2266"/>
      <c r="H46" s="2266"/>
      <c r="I46" s="2293"/>
      <c r="J46" s="2293"/>
      <c r="K46" s="2263" t="str">
        <f>J45&amp;".1"</f>
        <v>...1.1.1</v>
      </c>
      <c r="L46" s="1371"/>
      <c r="P46" s="2264"/>
      <c r="Q46" s="2264"/>
      <c r="R46" s="364">
        <v>1</v>
      </c>
      <c r="S46" s="1464" t="str">
        <f>$K46</f>
        <v>...1.1.1</v>
      </c>
      <c r="T46" s="1444"/>
      <c r="U46" s="307"/>
      <c r="V46" s="758"/>
      <c r="W46" s="758"/>
      <c r="X46" s="1264"/>
      <c r="Y46" s="2272"/>
      <c r="Z46" s="2114" t="s">
        <v>66</v>
      </c>
      <c r="AA46" s="2272"/>
      <c r="AB46" s="2114" t="s">
        <v>66</v>
      </c>
      <c r="AC46" s="758"/>
      <c r="AD46" s="758"/>
      <c r="AE46" s="1264"/>
      <c r="AF46" s="2272"/>
      <c r="AG46" s="2114" t="s">
        <v>66</v>
      </c>
      <c r="AH46" s="2294"/>
      <c r="AI46" s="2114" t="s">
        <v>66</v>
      </c>
      <c r="AJ46" s="1445"/>
      <c r="AK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8">
        <f>STRCHECKDATE(V47:AJ47)</f>
      </c>
      <c r="AM46" s="507"/>
      <c r="AN46" s="507" t="str">
        <f>IF(T46="","",T46)</f>
        <v/>
      </c>
      <c r="AO46" s="507"/>
      <c r="AP46" s="507"/>
      <c r="AQ46" s="1162">
        <v>23</v>
      </c>
    </row>
    <row customHeight="1" ht="0">
      <c r="A47" s="1370" t="s">
        <v>394</v>
      </c>
      <c r="B47" s="1370" t="s">
        <v>395</v>
      </c>
      <c r="C47" s="1370" t="s">
        <v>396</v>
      </c>
      <c r="D47" s="1370" t="s">
        <v>658</v>
      </c>
      <c r="E47" s="2266"/>
      <c r="F47" s="2266"/>
      <c r="G47" s="2266"/>
      <c r="H47" s="2266"/>
      <c r="I47" s="2293"/>
      <c r="J47" s="2293"/>
      <c r="K47" s="2263"/>
      <c r="L47" s="1371"/>
      <c r="P47" s="2264"/>
      <c r="Q47" s="2264"/>
      <c r="R47" s="364"/>
      <c r="S47" s="1463"/>
      <c r="T47" s="307"/>
      <c r="U47" s="307"/>
      <c r="V47" s="332"/>
      <c r="W47" s="332"/>
      <c r="X47" s="335" t="str">
        <f>Y46&amp;"-"&amp;AA46</f>
        <v>-</v>
      </c>
      <c r="Y47" s="2273"/>
      <c r="Z47" s="2114"/>
      <c r="AA47" s="2273"/>
      <c r="AB47" s="2114"/>
      <c r="AC47" s="332"/>
      <c r="AD47" s="332"/>
      <c r="AE47" s="335" t="str">
        <f>AF46&amp;"-"&amp;AH46</f>
        <v>-</v>
      </c>
      <c r="AF47" s="2273"/>
      <c r="AG47" s="2114"/>
      <c r="AH47" s="2295"/>
      <c r="AI47" s="2114"/>
      <c r="AJ47" s="1446"/>
      <c r="AK47" s="2356"/>
      <c r="AM47" s="507"/>
      <c r="AN47" s="507" t="str">
        <f>IF(T47="","",T47)</f>
        <v/>
      </c>
      <c r="AO47" s="507"/>
      <c r="AP47" s="507"/>
      <c r="AQ47" s="1162">
        <v>0</v>
      </c>
    </row>
    <row customHeight="1" ht="21">
      <c r="A48" s="1370" t="s">
        <v>394</v>
      </c>
      <c r="B48" s="1370" t="s">
        <v>395</v>
      </c>
      <c r="C48" s="1370" t="s">
        <v>396</v>
      </c>
      <c r="D48" s="1370" t="s">
        <v>658</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374"/>
      <c r="AK48" s="1265" t="s">
        <v>647</v>
      </c>
      <c r="AM48" s="507"/>
      <c r="AN48" s="507" t="str">
        <f>IF(T48="","",T48)</f>
        <v>Добавить значение признака дифференциации</v>
      </c>
      <c r="AO48" s="507"/>
      <c r="AP48" s="507"/>
      <c r="AQ48" s="1162">
        <v>20</v>
      </c>
    </row>
    <row customHeight="1" ht="22.049999999999997">
      <c r="A49" s="1370" t="s">
        <v>394</v>
      </c>
      <c r="B49" s="1370" t="s">
        <v>395</v>
      </c>
      <c r="C49" s="1370" t="s">
        <v>396</v>
      </c>
      <c r="D49" s="1370" t="s">
        <v>658</v>
      </c>
      <c r="E49" s="2266"/>
      <c r="F49" s="2266"/>
      <c r="G49" s="2266"/>
      <c r="H49" s="2266"/>
      <c r="I49" s="2263"/>
      <c r="J49" s="1370"/>
      <c r="K49" s="1370"/>
      <c r="L49" s="1371"/>
      <c r="P49" s="2264"/>
      <c r="Q49" s="1457"/>
      <c r="R49" s="363"/>
      <c r="S49" s="1285"/>
      <c r="T49" s="372" t="s">
        <v>575</v>
      </c>
      <c r="U49" s="374"/>
      <c r="V49" s="374"/>
      <c r="W49" s="374"/>
      <c r="X49" s="374"/>
      <c r="Y49" s="374"/>
      <c r="Z49" s="374"/>
      <c r="AA49" s="374"/>
      <c r="AB49" s="373"/>
      <c r="AC49" s="374"/>
      <c r="AD49" s="374"/>
      <c r="AE49" s="374"/>
      <c r="AF49" s="374"/>
      <c r="AG49" s="374"/>
      <c r="AH49" s="374"/>
      <c r="AI49" s="373"/>
      <c r="AJ49" s="374"/>
      <c r="AK49" s="1447"/>
      <c r="AM49" s="507"/>
      <c r="AN49" s="507" t="str">
        <f>IF(T49="","",T49)</f>
        <v>Добавить группу потребителей</v>
      </c>
      <c r="AO49" s="507"/>
      <c r="AP49" s="507"/>
      <c r="AQ49" s="1162">
        <v>21</v>
      </c>
    </row>
    <row customHeight="1" ht="22.049999999999997">
      <c r="A50" s="1370" t="s">
        <v>394</v>
      </c>
      <c r="B50" s="1370" t="s">
        <v>395</v>
      </c>
      <c r="C50" s="1370" t="s">
        <v>396</v>
      </c>
      <c r="D50" s="1370" t="s">
        <v>658</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374"/>
      <c r="AK50" s="310"/>
      <c r="AM50" s="507"/>
      <c r="AN50" s="507" t="str">
        <f>IF(T50="","",T50)</f>
        <v>Добавить наименование признака дифференциации</v>
      </c>
      <c r="AO50" s="507"/>
      <c r="AP50" s="507"/>
      <c r="AQ50" s="1162">
        <v>21</v>
      </c>
    </row>
    <row s="1649" customFormat="1" customHeight="1" ht="0">
      <c r="A51" s="1350" t="s">
        <v>394</v>
      </c>
      <c r="B51" s="1350" t="s">
        <v>395</v>
      </c>
      <c r="C51" s="1321"/>
      <c r="D51" s="1321"/>
      <c r="E51" s="2266"/>
      <c r="F51" s="2265"/>
      <c r="G51" s="1321"/>
      <c r="H51" s="1321"/>
      <c r="I51" s="1321"/>
      <c r="J51" s="1321"/>
      <c r="K51" s="1321"/>
      <c r="L51" s="1465"/>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M51" s="796"/>
      <c r="AN51" s="796" t="str">
        <f>IF(T51="","",T51)</f>
        <v>Добавить централизованную систему для дифференциации</v>
      </c>
      <c r="AO51" s="796"/>
      <c r="AP51" s="796"/>
      <c r="AQ51" s="525">
        <v>0</v>
      </c>
    </row>
    <row s="1649" customFormat="1" customHeight="1" ht="0">
      <c r="A52" s="1350" t="s">
        <v>394</v>
      </c>
      <c r="B52" s="1350"/>
      <c r="C52" s="1350"/>
      <c r="D52" s="1350"/>
      <c r="E52" s="2265"/>
      <c r="F52" s="1350"/>
      <c r="G52" s="1350"/>
      <c r="H52" s="1350"/>
      <c r="I52" s="1350"/>
      <c r="J52" s="1350"/>
      <c r="K52" s="1350"/>
      <c r="L52" s="1353"/>
      <c r="M52" s="1328"/>
      <c r="N52" s="1328"/>
      <c r="O52" s="525"/>
      <c r="P52" s="387"/>
      <c r="Q52" s="1351"/>
      <c r="R52" s="387"/>
      <c r="S52" s="1329"/>
      <c r="T52" s="1332" t="s">
        <v>390</v>
      </c>
      <c r="U52" s="1331"/>
      <c r="V52" s="1331"/>
      <c r="W52" s="1331"/>
      <c r="X52" s="1331"/>
      <c r="Y52" s="1331"/>
      <c r="Z52" s="1331"/>
      <c r="AA52" s="1331"/>
      <c r="AB52" s="1331"/>
      <c r="AC52" s="1331"/>
      <c r="AD52" s="1331"/>
      <c r="AE52" s="1331"/>
      <c r="AF52" s="1331"/>
      <c r="AG52" s="1331"/>
      <c r="AH52" s="1331"/>
      <c r="AI52" s="1331"/>
      <c r="AJ52" s="1331"/>
      <c r="AK52" s="1331"/>
      <c r="AM52" s="507"/>
      <c r="AN52" s="507" t="str">
        <f>IF(T52="","",T52)</f>
        <v>Добавить территорию для дифференциации</v>
      </c>
      <c r="AO52" s="507"/>
      <c r="AP52" s="507"/>
      <c r="AQ52" s="518">
        <v>0</v>
      </c>
    </row>
    <row s="1649" customFormat="1" customHeight="1" ht="0">
      <c r="A53" s="1321"/>
      <c r="B53" s="1321"/>
      <c r="C53" s="1321"/>
      <c r="D53" s="1321"/>
      <c r="E53" s="1350"/>
      <c r="F53" s="1321"/>
      <c r="G53" s="1321"/>
      <c r="H53" s="1321"/>
      <c r="I53" s="1321"/>
      <c r="J53" s="1321"/>
      <c r="K53" s="1321"/>
      <c r="L53" s="1465"/>
      <c r="M53" s="1328"/>
      <c r="N53" s="1328"/>
      <c r="P53" s="1323"/>
      <c r="Q53" s="1324"/>
      <c r="R53" s="1323"/>
      <c r="S53" s="1329"/>
      <c r="T53" s="1332" t="s">
        <v>391</v>
      </c>
      <c r="U53" s="1331"/>
      <c r="V53" s="1331"/>
      <c r="W53" s="1331"/>
      <c r="X53" s="1331"/>
      <c r="Y53" s="1331"/>
      <c r="Z53" s="1331"/>
      <c r="AA53" s="1331"/>
      <c r="AB53" s="1331"/>
      <c r="AC53" s="1331"/>
      <c r="AD53" s="1331"/>
      <c r="AE53" s="1331"/>
      <c r="AF53" s="1331"/>
      <c r="AG53" s="1331"/>
      <c r="AH53" s="1331"/>
      <c r="AI53" s="1331"/>
      <c r="AJ53" s="1331"/>
      <c r="AK53" s="1331"/>
      <c r="AM53" s="796"/>
      <c r="AN53" s="796" t="str">
        <f>IF(T53="","",T53)</f>
        <v>Добавить наименование тарифа</v>
      </c>
      <c r="AO53" s="796"/>
      <c r="AP53" s="796"/>
      <c r="AQ53" s="525">
        <v>0</v>
      </c>
    </row>
    <row customHeight="1" ht="11.549999999999999">
      <c r="M54" s="1167"/>
      <c r="N54" s="1167"/>
      <c r="O54" s="544"/>
      <c r="P54" s="1162"/>
      <c r="Q54" s="1162"/>
      <c r="R54" s="1162"/>
      <c r="S54" s="1162"/>
      <c r="AL54" s="1162"/>
      <c r="AM54" s="1162"/>
      <c r="AN54" s="1162"/>
      <c r="AO54" s="1162"/>
      <c r="AP54" s="1162"/>
      <c r="AQ54" s="1162">
        <v>11</v>
      </c>
    </row>
    <row customHeight="1" ht="14.699999999999998">
      <c r="O55" s="544"/>
      <c r="S55" s="1260"/>
      <c r="T55" s="2292"/>
      <c r="U55" s="2292"/>
      <c r="V55" s="2292"/>
      <c r="W55" s="2292"/>
      <c r="X55" s="2292"/>
      <c r="Y55" s="2292"/>
      <c r="Z55" s="2292"/>
      <c r="AA55" s="2292"/>
      <c r="AB55" s="2292"/>
      <c r="AC55" s="2292"/>
      <c r="AD55" s="2292"/>
      <c r="AE55" s="2292"/>
      <c r="AF55" s="2292"/>
      <c r="AG55" s="2292"/>
      <c r="AH55" s="2292"/>
      <c r="AI55" s="2292"/>
      <c r="AJ55" s="2292"/>
      <c r="AK55" s="2292"/>
      <c r="AQ55" s="1162">
        <v>14</v>
      </c>
    </row>
    <row customHeight="1" ht="14.699999999999998">
      <c r="O56" s="544"/>
      <c r="AQ56" s="1162">
        <v>14</v>
      </c>
    </row>
    <row customHeight="1" ht="14.699999999999998">
      <c r="O57" s="544"/>
      <c r="S57" s="1260"/>
      <c r="T57" s="2292"/>
      <c r="U57" s="2292"/>
      <c r="V57" s="2292"/>
      <c r="W57" s="2292"/>
      <c r="X57" s="2292"/>
      <c r="Y57" s="2292"/>
      <c r="Z57" s="2292"/>
      <c r="AA57" s="2292"/>
      <c r="AB57" s="2292"/>
      <c r="AC57" s="2292"/>
      <c r="AD57" s="2292"/>
      <c r="AE57" s="2292"/>
      <c r="AF57" s="2292"/>
      <c r="AG57" s="2292"/>
      <c r="AH57" s="2292"/>
      <c r="AI57" s="2292"/>
      <c r="AJ57" s="2292"/>
      <c r="AK57" s="2292"/>
      <c r="AQ57" s="1162">
        <v>14</v>
      </c>
    </row>
    <row customHeight="1" ht="22.5" hidden="1">
      <c r="A58" s="1167" t="s">
        <v>82</v>
      </c>
      <c r="B58" s="1167">
        <v>0</v>
      </c>
      <c r="C58" s="1167">
        <v>0</v>
      </c>
      <c r="D58" s="1167">
        <v>0</v>
      </c>
      <c r="E58" s="1167">
        <v>0</v>
      </c>
      <c r="F58" s="1167">
        <v>0</v>
      </c>
      <c r="G58" s="1167">
        <v>0</v>
      </c>
      <c r="H58" s="1167">
        <v>0</v>
      </c>
      <c r="I58" s="1167">
        <v>0</v>
      </c>
      <c r="J58" s="1167">
        <v>0</v>
      </c>
      <c r="K58" s="1167">
        <v>0</v>
      </c>
      <c r="L58" s="1454">
        <v>0</v>
      </c>
      <c r="M58" s="1369">
        <v>0</v>
      </c>
      <c r="N58" s="1369">
        <v>0</v>
      </c>
      <c r="O58" s="1369">
        <v>0</v>
      </c>
      <c r="P58" s="1453">
        <v>3</v>
      </c>
      <c r="Q58" s="351">
        <v>3</v>
      </c>
      <c r="R58" s="351">
        <v>3</v>
      </c>
      <c r="S58" s="588">
        <v>12</v>
      </c>
      <c r="T58" s="1162">
        <v>35</v>
      </c>
      <c r="U58" s="1162">
        <v>0</v>
      </c>
      <c r="V58" s="1162">
        <v>0</v>
      </c>
      <c r="W58" s="1162">
        <v>0</v>
      </c>
      <c r="X58" s="1162">
        <v>0</v>
      </c>
      <c r="Y58" s="1162">
        <v>0</v>
      </c>
      <c r="Z58" s="1162">
        <v>0</v>
      </c>
      <c r="AA58" s="1162">
        <v>0</v>
      </c>
      <c r="AB58" s="1162">
        <v>0</v>
      </c>
      <c r="AC58" s="1162">
        <v>24</v>
      </c>
      <c r="AD58" s="1162">
        <v>24</v>
      </c>
      <c r="AE58" s="1162">
        <v>24</v>
      </c>
      <c r="AF58" s="1162">
        <v>11</v>
      </c>
      <c r="AG58" s="1162">
        <v>3</v>
      </c>
      <c r="AH58" s="1162">
        <v>11</v>
      </c>
      <c r="AI58" s="1162">
        <v>0</v>
      </c>
      <c r="AJ58" s="1162">
        <v>4</v>
      </c>
      <c r="AK58" s="1162">
        <v>115</v>
      </c>
      <c r="AL58" s="518">
        <v>10</v>
      </c>
      <c r="AM58" s="518">
        <v>10</v>
      </c>
      <c r="AN58" s="518">
        <v>10</v>
      </c>
      <c r="AO58" s="518">
        <v>10</v>
      </c>
      <c r="AP58" s="518">
        <v>10</v>
      </c>
      <c r="AQ58" s="1162">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2D2D8F-547E-4F25-4FE6-85606013311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29" style="1642" width="24.7109375" customWidth="1"/>
    <col min="30" max="31" style="1642" width="24.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22.5" hidden="1">
      <c r="X1" s="334"/>
      <c r="Y1" s="334"/>
      <c r="AE1" s="334"/>
      <c r="AF1" s="334"/>
      <c r="AQ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464">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51"/>
      <c r="AK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7"/>
      <c r="AN2" s="507" t="str">
        <f>IF(T2="","",T2)</f>
        <v>Наименование тарифа</v>
      </c>
      <c r="AO2" s="507"/>
      <c r="AP2" s="507"/>
      <c r="AQ2" s="1162">
        <v>0</v>
      </c>
    </row>
    <row customHeight="1" ht="23.25" hidden="1">
      <c r="A3" s="1370"/>
      <c r="B3" s="1370"/>
      <c r="C3" s="1370"/>
      <c r="D3" s="1370"/>
      <c r="E3" s="2266"/>
      <c r="F3" s="2265">
        <v>1</v>
      </c>
      <c r="G3" s="1370"/>
      <c r="H3" s="1370"/>
      <c r="I3" s="1370"/>
      <c r="J3" s="1370"/>
      <c r="K3" s="1370"/>
      <c r="L3" s="1371"/>
      <c r="M3" s="1372"/>
      <c r="N3" s="1372"/>
      <c r="O3" s="1372"/>
      <c r="P3" s="1460"/>
      <c r="Q3" s="359"/>
      <c r="R3" s="360"/>
      <c r="S3" s="1464">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51"/>
      <c r="AK3" s="1265" t="s">
        <v>561</v>
      </c>
      <c r="AM3" s="507"/>
      <c r="AN3" s="507" t="str">
        <f>IF(T3="","",T3)</f>
        <v>Территория действия тарифа</v>
      </c>
      <c r="AO3" s="507"/>
      <c r="AP3" s="507"/>
      <c r="AQ3" s="1162">
        <v>0</v>
      </c>
    </row>
    <row customHeight="1" ht="23.25" hidden="1">
      <c r="A4" s="1370"/>
      <c r="B4" s="1370"/>
      <c r="C4" s="1370"/>
      <c r="D4" s="1370"/>
      <c r="E4" s="2266"/>
      <c r="F4" s="2266"/>
      <c r="G4" s="2265">
        <v>1</v>
      </c>
      <c r="H4" s="1370"/>
      <c r="I4" s="1370"/>
      <c r="J4" s="1370"/>
      <c r="K4" s="1370"/>
      <c r="L4" s="1371"/>
      <c r="M4" s="1372"/>
      <c r="N4" s="1372"/>
      <c r="O4" s="1372"/>
      <c r="P4" s="361"/>
      <c r="Q4" s="359"/>
      <c r="R4" s="360"/>
      <c r="S4" s="1464">
        <f>INDEX(PT_DIFFERENTIATION_NUM_CS,MATCH(C4,PT_DIFFERENTIATION_CS_ID,0))</f>
      </c>
      <c r="T4" s="316" t="s">
        <v>641</v>
      </c>
      <c r="U4" s="307"/>
      <c r="V4" s="2249"/>
      <c r="W4" s="2250"/>
      <c r="X4" s="2250"/>
      <c r="Y4" s="2250"/>
      <c r="Z4" s="2250"/>
      <c r="AA4" s="2250"/>
      <c r="AB4" s="2251"/>
      <c r="AC4" s="2249">
        <f>INDEX(PT_DIFFERENTIATION_CS,MATCH(C4,PT_DIFFERENTIATION_CS_ID,0))</f>
      </c>
      <c r="AD4" s="2250"/>
      <c r="AE4" s="2250"/>
      <c r="AF4" s="2250"/>
      <c r="AG4" s="2250"/>
      <c r="AH4" s="2250"/>
      <c r="AI4" s="2250"/>
      <c r="AJ4" s="2251"/>
      <c r="AK4" s="1265" t="s">
        <v>642</v>
      </c>
      <c r="AM4" s="507"/>
      <c r="AN4" s="507" t="str">
        <f>IF(T4="","",T4)</f>
        <v>Наименование централизованной системы холодного водоснабжения</v>
      </c>
      <c r="AO4" s="507"/>
      <c r="AP4" s="507"/>
      <c r="AQ4" s="1162">
        <v>0</v>
      </c>
    </row>
    <row customHeight="1" ht="23.25" hidden="1">
      <c r="A5" s="1370"/>
      <c r="B5" s="1370"/>
      <c r="C5" s="1370"/>
      <c r="D5" s="1370"/>
      <c r="E5" s="2266"/>
      <c r="F5" s="2266"/>
      <c r="G5" s="2266"/>
      <c r="H5" s="2266"/>
      <c r="I5" s="2263">
        <f>S4&amp;".1"</f>
      </c>
      <c r="J5" s="1370"/>
      <c r="K5" s="1370"/>
      <c r="L5" s="1371"/>
      <c r="P5" s="2264">
        <v>1</v>
      </c>
      <c r="Q5" s="1457"/>
      <c r="R5" s="363"/>
      <c r="S5" s="1464">
        <f>$I5</f>
      </c>
      <c r="T5" s="292" t="s">
        <v>643</v>
      </c>
      <c r="U5" s="307"/>
      <c r="V5" s="2357"/>
      <c r="W5" s="2358"/>
      <c r="X5" s="2358"/>
      <c r="Y5" s="2358"/>
      <c r="Z5" s="2358"/>
      <c r="AA5" s="2358"/>
      <c r="AB5" s="2359"/>
      <c r="AC5" s="2360"/>
      <c r="AD5" s="2361"/>
      <c r="AE5" s="2361"/>
      <c r="AF5" s="2361"/>
      <c r="AG5" s="2361"/>
      <c r="AH5" s="2361"/>
      <c r="AI5" s="2361"/>
      <c r="AJ5" s="2362"/>
      <c r="AK5" s="1265" t="s">
        <v>644</v>
      </c>
      <c r="AM5" s="507"/>
      <c r="AN5" s="507" t="str">
        <f>IF(T5="","",T5)</f>
        <v>Наименование признака дифференциации</v>
      </c>
      <c r="AO5" s="507"/>
      <c r="AP5" s="507"/>
      <c r="AQ5" s="1162">
        <v>0</v>
      </c>
    </row>
    <row customHeight="1" ht="23.25" hidden="1">
      <c r="A6" s="1370"/>
      <c r="B6" s="1370"/>
      <c r="C6" s="1370"/>
      <c r="D6" s="1370"/>
      <c r="E6" s="2266"/>
      <c r="F6" s="2266"/>
      <c r="G6" s="2266"/>
      <c r="H6" s="2266"/>
      <c r="I6" s="2293"/>
      <c r="J6" s="2263">
        <f>I5&amp;".1"</f>
      </c>
      <c r="K6" s="1370"/>
      <c r="L6" s="1371" t="s">
        <v>569</v>
      </c>
      <c r="P6" s="2264"/>
      <c r="Q6" s="2264">
        <v>1</v>
      </c>
      <c r="R6" s="364"/>
      <c r="S6" s="1464">
        <f>$J6</f>
      </c>
      <c r="T6" s="293" t="s">
        <v>570</v>
      </c>
      <c r="U6" s="307"/>
      <c r="V6" s="2252"/>
      <c r="W6" s="2253"/>
      <c r="X6" s="2253"/>
      <c r="Y6" s="2253"/>
      <c r="Z6" s="2253"/>
      <c r="AA6" s="2253"/>
      <c r="AB6" s="2254"/>
      <c r="AC6" s="2252"/>
      <c r="AD6" s="2253"/>
      <c r="AE6" s="2253"/>
      <c r="AF6" s="2253"/>
      <c r="AG6" s="2253"/>
      <c r="AH6" s="2253"/>
      <c r="AI6" s="2253"/>
      <c r="AJ6" s="2254"/>
      <c r="AK6" s="1314" t="s">
        <v>645</v>
      </c>
      <c r="AM6" s="507"/>
      <c r="AN6" s="507" t="str">
        <f>IF(T6="","",T6)</f>
        <v>Группа потребителей</v>
      </c>
      <c r="AO6" s="507"/>
      <c r="AP6" s="507"/>
      <c r="AQ6" s="1162">
        <v>0</v>
      </c>
    </row>
    <row customHeight="1" ht="23.25" hidden="1">
      <c r="A7" s="1370"/>
      <c r="B7" s="1370"/>
      <c r="C7" s="1370"/>
      <c r="D7" s="1370"/>
      <c r="E7" s="2266"/>
      <c r="F7" s="2266"/>
      <c r="G7" s="2266"/>
      <c r="H7" s="2266"/>
      <c r="I7" s="2293"/>
      <c r="J7" s="2293"/>
      <c r="K7" s="2263">
        <f>J6&amp;".1"</f>
      </c>
      <c r="L7" s="1371"/>
      <c r="P7" s="2264"/>
      <c r="Q7" s="2264"/>
      <c r="R7" s="364">
        <v>1</v>
      </c>
      <c r="S7" s="1464">
        <f>$K7</f>
      </c>
      <c r="T7" s="1444"/>
      <c r="U7" s="307"/>
      <c r="V7" s="758"/>
      <c r="W7" s="758"/>
      <c r="X7" s="1264"/>
      <c r="Y7" s="2272"/>
      <c r="Z7" s="2114" t="s">
        <v>66</v>
      </c>
      <c r="AA7" s="2272"/>
      <c r="AB7" s="2114" t="s">
        <v>66</v>
      </c>
      <c r="AC7" s="758"/>
      <c r="AD7" s="758"/>
      <c r="AE7" s="1264"/>
      <c r="AF7" s="2272"/>
      <c r="AG7" s="2114" t="s">
        <v>66</v>
      </c>
      <c r="AH7" s="2294"/>
      <c r="AI7" s="2114" t="s">
        <v>66</v>
      </c>
      <c r="AJ7" s="1445"/>
      <c r="AK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8">
        <f>STRCHECKDATE(V8:AJ8)</f>
      </c>
      <c r="AM7" s="507"/>
      <c r="AN7" s="507" t="str">
        <f>IF(T7="","",T7)</f>
        <v/>
      </c>
      <c r="AO7" s="507"/>
      <c r="AP7" s="507"/>
      <c r="AQ7" s="1162">
        <v>0</v>
      </c>
    </row>
    <row customHeight="1" ht="14.25" hidden="1">
      <c r="A8" s="1370"/>
      <c r="B8" s="1370"/>
      <c r="C8" s="1370"/>
      <c r="D8" s="1370"/>
      <c r="E8" s="2266"/>
      <c r="F8" s="2266"/>
      <c r="G8" s="2266"/>
      <c r="H8" s="2266"/>
      <c r="I8" s="2293"/>
      <c r="J8" s="2293"/>
      <c r="K8" s="2263"/>
      <c r="L8" s="1371"/>
      <c r="P8" s="2264"/>
      <c r="Q8" s="2264"/>
      <c r="R8" s="364"/>
      <c r="S8" s="1463"/>
      <c r="T8" s="307"/>
      <c r="U8" s="307"/>
      <c r="V8" s="332"/>
      <c r="W8" s="332"/>
      <c r="X8" s="335" t="str">
        <f>Y7&amp;"-"&amp;AA7</f>
        <v>-</v>
      </c>
      <c r="Y8" s="2273"/>
      <c r="Z8" s="2114"/>
      <c r="AA8" s="2273"/>
      <c r="AB8" s="2114"/>
      <c r="AC8" s="332"/>
      <c r="AD8" s="332"/>
      <c r="AE8" s="335" t="str">
        <f>AF7&amp;"-"&amp;AH7</f>
        <v>-</v>
      </c>
      <c r="AF8" s="2273"/>
      <c r="AG8" s="2114"/>
      <c r="AH8" s="2295"/>
      <c r="AI8" s="2114"/>
      <c r="AJ8" s="1446"/>
      <c r="AK8" s="2356"/>
      <c r="AM8" s="507"/>
      <c r="AN8" s="507" t="str">
        <f>IF(T8="","",T8)</f>
        <v/>
      </c>
      <c r="AO8" s="507"/>
      <c r="AP8" s="507"/>
      <c r="AQ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374"/>
      <c r="AK9" s="1265" t="s">
        <v>647</v>
      </c>
      <c r="AM9" s="507"/>
      <c r="AN9" s="507" t="str">
        <f>IF(T9="","",T9)</f>
        <v>Добавить значение признака дифференциации</v>
      </c>
      <c r="AO9" s="507"/>
      <c r="AP9" s="507"/>
      <c r="AQ9" s="1162">
        <v>0</v>
      </c>
    </row>
    <row customHeight="1" ht="21" hidden="1">
      <c r="A10" s="1370"/>
      <c r="B10" s="1370"/>
      <c r="C10" s="1370"/>
      <c r="D10" s="1370"/>
      <c r="E10" s="2266"/>
      <c r="F10" s="2266"/>
      <c r="G10" s="2266"/>
      <c r="H10" s="2266"/>
      <c r="I10" s="2263"/>
      <c r="J10" s="1370"/>
      <c r="K10" s="1370"/>
      <c r="L10" s="1371"/>
      <c r="P10" s="2264"/>
      <c r="Q10" s="1457"/>
      <c r="R10" s="363"/>
      <c r="S10" s="1285"/>
      <c r="T10" s="372" t="s">
        <v>575</v>
      </c>
      <c r="U10" s="374"/>
      <c r="V10" s="374"/>
      <c r="W10" s="374"/>
      <c r="X10" s="374"/>
      <c r="Y10" s="374"/>
      <c r="Z10" s="374"/>
      <c r="AA10" s="374"/>
      <c r="AB10" s="373"/>
      <c r="AC10" s="374"/>
      <c r="AD10" s="374"/>
      <c r="AE10" s="374"/>
      <c r="AF10" s="374"/>
      <c r="AG10" s="374"/>
      <c r="AH10" s="374"/>
      <c r="AI10" s="373"/>
      <c r="AJ10" s="374"/>
      <c r="AK10" s="1447"/>
      <c r="AM10" s="507"/>
      <c r="AN10" s="507" t="str">
        <f>IF(T10="","",T10)</f>
        <v>Добавить группу потребителей</v>
      </c>
      <c r="AO10" s="507"/>
      <c r="AP10" s="507"/>
      <c r="AQ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374"/>
      <c r="AK11" s="310"/>
      <c r="AM11" s="507"/>
      <c r="AN11" s="507" t="str">
        <f>IF(T11="","",T11)</f>
        <v>Добавить наименование признака дифференциации</v>
      </c>
      <c r="AO11" s="507"/>
      <c r="AP11" s="507"/>
      <c r="AQ11" s="1162">
        <v>0</v>
      </c>
    </row>
    <row s="1649" customFormat="1" customHeight="1" ht="14.25" hidden="1">
      <c r="A12" s="1350"/>
      <c r="B12" s="1350"/>
      <c r="C12" s="1321"/>
      <c r="D12" s="1321"/>
      <c r="E12" s="2266"/>
      <c r="F12" s="2265"/>
      <c r="G12" s="1321"/>
      <c r="H12" s="1321"/>
      <c r="I12" s="1321"/>
      <c r="J12" s="1321"/>
      <c r="K12" s="1321"/>
      <c r="L12" s="1465"/>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M12" s="796"/>
      <c r="AN12" s="796" t="str">
        <f>IF(T12="","",T12)</f>
        <v>Добавить централизованную систему для дифференциации</v>
      </c>
      <c r="AO12" s="796"/>
      <c r="AP12" s="796"/>
      <c r="AQ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M13" s="507"/>
      <c r="AN13" s="507" t="str">
        <f>IF(T13="","",T13)</f>
        <v>Добавить территорию для дифференциации</v>
      </c>
      <c r="AO13" s="507"/>
      <c r="AP13" s="507"/>
      <c r="AQ13" s="518">
        <v>0</v>
      </c>
    </row>
    <row customHeight="1" ht="14.25" hidden="1">
      <c r="AB14" s="334"/>
      <c r="AI14" s="334"/>
      <c r="AQ14" s="1162">
        <v>0</v>
      </c>
    </row>
    <row customHeight="1" ht="14.25" hidden="1">
      <c r="AC15" s="1367"/>
      <c r="AD15" s="1367"/>
      <c r="AE15" s="1368"/>
      <c r="AF15" s="2274"/>
      <c r="AG15" s="2275" t="s">
        <v>66</v>
      </c>
      <c r="AH15" s="2274"/>
      <c r="AI15" s="2275" t="s">
        <v>66</v>
      </c>
      <c r="AQ15" s="1162">
        <v>0</v>
      </c>
    </row>
    <row customHeight="1" ht="14.25" hidden="1">
      <c r="AC16" s="1367"/>
      <c r="AD16" s="1367"/>
      <c r="AE16" s="335" t="str">
        <f>AF15&amp;"-"&amp;AH15</f>
        <v>-</v>
      </c>
      <c r="AF16" s="2275"/>
      <c r="AG16" s="2275"/>
      <c r="AH16" s="2275"/>
      <c r="AI16" s="2275"/>
      <c r="AQ16" s="1162">
        <v>0</v>
      </c>
    </row>
    <row customHeight="1" ht="14.25" hidden="1">
      <c r="AI17" s="334"/>
      <c r="AQ17" s="1162">
        <v>0</v>
      </c>
    </row>
    <row s="1373" customFormat="1" customHeight="1" ht="22.5" hidden="1">
      <c r="L18" s="1454"/>
      <c r="M18" s="1369"/>
      <c r="N18" s="1369"/>
      <c r="O18" s="1374" t="s">
        <v>578</v>
      </c>
      <c r="P18" s="1369"/>
      <c r="Q18" s="1378"/>
      <c r="R18" s="1378"/>
      <c r="S18" s="736"/>
      <c r="Y18" s="1374"/>
      <c r="AA18" s="1374"/>
      <c r="AB18" s="1373"/>
      <c r="AF18" s="1374"/>
      <c r="AH18" s="1374"/>
      <c r="AI18" s="1373"/>
      <c r="AL18" s="518"/>
      <c r="AM18" s="518"/>
      <c r="AN18" s="518"/>
      <c r="AO18" s="518"/>
      <c r="AP18" s="518"/>
      <c r="AQ18" s="1167">
        <v>0</v>
      </c>
    </row>
    <row s="1373" customFormat="1" customHeight="1" ht="14.25" hidden="1">
      <c r="L19" s="1454"/>
      <c r="M19" s="1369"/>
      <c r="N19" s="1369"/>
      <c r="O19" s="1369"/>
      <c r="P19" s="1369"/>
      <c r="Q19" s="1378"/>
      <c r="R19" s="1378"/>
      <c r="S19" s="736"/>
      <c r="AB19" s="1373"/>
      <c r="AI19" s="1373"/>
      <c r="AL19" s="518"/>
      <c r="AM19" s="518"/>
      <c r="AN19" s="518"/>
      <c r="AO19" s="518"/>
      <c r="AP19" s="518"/>
      <c r="AQ19" s="1167">
        <v>0</v>
      </c>
    </row>
    <row s="1373" customFormat="1" customHeight="1" ht="12" hidden="1">
      <c r="L20" s="1454"/>
      <c r="M20" s="1369"/>
      <c r="N20" s="1369"/>
      <c r="O20" s="1371" t="s">
        <v>579</v>
      </c>
      <c r="P20" s="1369"/>
      <c r="Q20" s="1449"/>
      <c r="R20" s="1449"/>
      <c r="S20" s="736"/>
      <c r="T20" s="1167" t="s">
        <v>580</v>
      </c>
      <c r="Z20" s="193" t="s">
        <v>581</v>
      </c>
      <c r="AB20" s="193" t="s">
        <v>582</v>
      </c>
      <c r="AC20" s="1167" t="s">
        <v>580</v>
      </c>
      <c r="AG20" s="193" t="s">
        <v>583</v>
      </c>
      <c r="AI20" s="193" t="s">
        <v>582</v>
      </c>
      <c r="AQ20" s="1167">
        <v>0</v>
      </c>
    </row>
    <row customHeight="1" ht="14.25" hidden="1">
      <c r="O21" s="1371"/>
      <c r="AQ21" s="1162">
        <v>0</v>
      </c>
    </row>
    <row customHeight="1" ht="14.25" hidden="1">
      <c r="O22" s="1371"/>
      <c r="AQ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Q23" s="1162">
        <v>14</v>
      </c>
    </row>
    <row customHeight="1" ht="14.699999999999998">
      <c r="Q24" s="383"/>
      <c r="R24" s="383"/>
      <c r="S24" s="225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5"/>
      <c r="U24" s="2255"/>
      <c r="V24" s="2255"/>
      <c r="W24" s="2255"/>
      <c r="X24" s="2255"/>
      <c r="Y24" s="2255"/>
      <c r="Z24" s="2255"/>
      <c r="AA24" s="2255"/>
      <c r="AB24" s="2255"/>
      <c r="AC24" s="2255"/>
      <c r="AD24" s="2255"/>
      <c r="AE24" s="2255"/>
      <c r="AF24" s="2255"/>
      <c r="AG24" s="2255"/>
      <c r="AH24" s="2255"/>
      <c r="AI24" s="1250"/>
      <c r="AQ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516"/>
      <c r="AQ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333"/>
      <c r="AK27" s="287"/>
      <c r="AL27" s="375"/>
      <c r="AM27" s="375"/>
      <c r="AN27" s="375"/>
      <c r="AO27" s="375"/>
      <c r="AP27" s="375"/>
      <c r="AQ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333"/>
      <c r="AK28" s="287"/>
      <c r="AL28" s="375"/>
      <c r="AM28" s="375"/>
      <c r="AN28" s="375"/>
      <c r="AO28" s="375"/>
      <c r="AP28" s="375"/>
      <c r="AQ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333"/>
      <c r="AK29" s="287"/>
      <c r="AL29" s="375"/>
      <c r="AM29" s="375"/>
      <c r="AN29" s="375"/>
      <c r="AO29" s="375"/>
      <c r="AP29" s="375"/>
      <c r="AQ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333"/>
      <c r="AK30" s="287"/>
      <c r="AL30" s="375"/>
      <c r="AM30" s="375"/>
      <c r="AN30" s="375"/>
      <c r="AO30" s="375"/>
      <c r="AP30" s="375"/>
      <c r="AQ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516"/>
      <c r="AQ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333"/>
      <c r="AK32" s="287"/>
      <c r="AL32" s="375"/>
      <c r="AM32" s="375"/>
      <c r="AN32" s="375"/>
      <c r="AO32" s="375"/>
      <c r="AP32" s="375"/>
      <c r="AQ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333"/>
      <c r="AK33" s="287"/>
      <c r="AL33" s="375"/>
      <c r="AM33" s="375"/>
      <c r="AN33" s="375"/>
      <c r="AO33" s="375"/>
      <c r="AP33" s="375"/>
      <c r="AQ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61"/>
      <c r="V34" s="333"/>
      <c r="W34" s="333"/>
      <c r="X34" s="333"/>
      <c r="Y34" s="333"/>
      <c r="Z34" s="333"/>
      <c r="AA34" s="333"/>
      <c r="AB34" s="285" t="s">
        <v>588</v>
      </c>
      <c r="AC34" s="333"/>
      <c r="AD34" s="333"/>
      <c r="AE34" s="333"/>
      <c r="AF34" s="333"/>
      <c r="AG34" s="333"/>
      <c r="AH34" s="333"/>
      <c r="AI34" s="285" t="s">
        <v>588</v>
      </c>
      <c r="AL34" s="375"/>
      <c r="AM34" s="375"/>
      <c r="AN34" s="375"/>
      <c r="AO34" s="375"/>
      <c r="AP34" s="375"/>
      <c r="AQ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Q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t="s">
        <v>464</v>
      </c>
      <c r="AQ36" s="1162">
        <v>14</v>
      </c>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287" t="s">
        <v>593</v>
      </c>
      <c r="AK37" s="2134"/>
      <c r="AQ37" s="1162">
        <v>14</v>
      </c>
    </row>
    <row customHeight="1" ht="35.699999999999996">
      <c r="Q38" s="383"/>
      <c r="R38" s="383"/>
      <c r="S38" s="2280"/>
      <c r="T38" s="2216"/>
      <c r="U38" s="1038"/>
      <c r="V38" s="1459" t="s">
        <v>649</v>
      </c>
      <c r="W38" s="2269" t="s">
        <v>596</v>
      </c>
      <c r="X38" s="2270"/>
      <c r="Y38" s="2269" t="s">
        <v>597</v>
      </c>
      <c r="Z38" s="2276"/>
      <c r="AA38" s="2270"/>
      <c r="AB38" s="2285"/>
      <c r="AC38" s="1459" t="s">
        <v>649</v>
      </c>
      <c r="AD38" s="2269" t="s">
        <v>596</v>
      </c>
      <c r="AE38" s="2270"/>
      <c r="AF38" s="2269" t="s">
        <v>597</v>
      </c>
      <c r="AG38" s="2276"/>
      <c r="AH38" s="2270"/>
      <c r="AI38" s="2285"/>
      <c r="AJ38" s="2288"/>
      <c r="AK38" s="2134"/>
      <c r="AQ38" s="1162">
        <v>34</v>
      </c>
    </row>
    <row customHeight="1" ht="35.699999999999996">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459" t="s">
        <v>652</v>
      </c>
      <c r="W39" s="1229" t="s">
        <v>653</v>
      </c>
      <c r="X39" s="1229" t="s">
        <v>654</v>
      </c>
      <c r="Y39" s="1462" t="s">
        <v>607</v>
      </c>
      <c r="Z39" s="2277" t="s">
        <v>608</v>
      </c>
      <c r="AA39" s="2278"/>
      <c r="AB39" s="2286"/>
      <c r="AC39" s="1459" t="s">
        <v>652</v>
      </c>
      <c r="AD39" s="1229" t="s">
        <v>653</v>
      </c>
      <c r="AE39" s="1229" t="s">
        <v>654</v>
      </c>
      <c r="AF39" s="1462" t="s">
        <v>607</v>
      </c>
      <c r="AG39" s="2277" t="s">
        <v>608</v>
      </c>
      <c r="AH39" s="2278"/>
      <c r="AI39" s="2286"/>
      <c r="AJ39" s="2289"/>
      <c r="AK39" s="2134"/>
      <c r="AQ39" s="1162">
        <v>34</v>
      </c>
    </row>
    <row s="1648" customFormat="1" customHeight="1" ht="0">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458">
        <f>OFFSET(V40,0,-1)+1</f>
        <v>3</v>
      </c>
      <c r="W40" s="1458">
        <f>OFFSET(W40,0,-1)+1</f>
        <v>4</v>
      </c>
      <c r="X40" s="1458">
        <f>OFFSET(X40,0,-1)+1</f>
        <v>5</v>
      </c>
      <c r="Y40" s="1458">
        <f>OFFSET(Y40,0,-1)+1</f>
        <v>6</v>
      </c>
      <c r="Z40" s="2279">
        <f>OFFSET(Z40,0,-1)+1</f>
        <v>7</v>
      </c>
      <c r="AA40" s="2279"/>
      <c r="AB40" s="1458">
        <f>OFFSET(AB40,0,-2)+1</f>
        <v>8</v>
      </c>
      <c r="AC40" s="1458">
        <f>OFFSET(AC40,0,-1)+1</f>
        <v>9</v>
      </c>
      <c r="AD40" s="1458">
        <f>OFFSET(AD40,0,-1)+1</f>
        <v>10</v>
      </c>
      <c r="AE40" s="1458">
        <f>OFFSET(AE40,0,-1)+1</f>
        <v>11</v>
      </c>
      <c r="AF40" s="1458">
        <f>OFFSET(AF40,0,-1)+1</f>
        <v>12</v>
      </c>
      <c r="AG40" s="2279">
        <f>OFFSET(AG40,0,-1)+1</f>
        <v>13</v>
      </c>
      <c r="AH40" s="2279"/>
      <c r="AI40" s="1458">
        <f>OFFSET(AI40,0,-2)+1</f>
        <v>14</v>
      </c>
      <c r="AJ40" s="1252">
        <f>OFFSET(AJ40,0,-1)</f>
        <v>14</v>
      </c>
      <c r="AK40" s="1458">
        <f>OFFSET(AK40,0,-1)+1</f>
        <v>15</v>
      </c>
      <c r="AL40" s="518"/>
      <c r="AM40" s="518"/>
      <c r="AN40" s="518"/>
      <c r="AO40" s="518"/>
      <c r="AP40" s="518"/>
      <c r="AQ40" s="503">
        <v>0</v>
      </c>
    </row>
    <row customHeight="1" ht="24">
      <c r="A41" s="1370" t="s">
        <v>399</v>
      </c>
      <c r="B41" s="1370"/>
      <c r="C41" s="1370"/>
      <c r="D41" s="1370"/>
      <c r="E41" s="2265">
        <v>1</v>
      </c>
      <c r="F41" s="1370"/>
      <c r="G41" s="1370"/>
      <c r="H41" s="1370"/>
      <c r="I41" s="1370"/>
      <c r="J41" s="1370"/>
      <c r="K41" s="1370"/>
      <c r="L41" s="1371"/>
      <c r="M41" s="1372"/>
      <c r="N41" s="1372"/>
      <c r="O41" s="1372"/>
      <c r="P41" s="368"/>
      <c r="Q41" s="367"/>
      <c r="R41" s="362"/>
      <c r="S41" s="1464">
        <f>INDEX(PT_DIFFERENTIATION_NUM_NTAR,MATCH(A41,PT_DIFFERENTIATION_NTAR_ID,0))</f>
        <v>0</v>
      </c>
      <c r="T41" s="305" t="s">
        <v>215</v>
      </c>
      <c r="U41" s="307"/>
      <c r="V41" s="2249"/>
      <c r="W41" s="2250"/>
      <c r="X41" s="2250"/>
      <c r="Y41" s="2250"/>
      <c r="Z41" s="2250"/>
      <c r="AA41" s="2250"/>
      <c r="AB41" s="2251"/>
      <c r="AC41" s="2249" t="str">
        <f>INDEX(PT_DIFFERENTIATION_NTAR,MATCH(A41,PT_DIFFERENTIATION_NTAR_ID,0))</f>
        <v/>
      </c>
      <c r="AD41" s="2250"/>
      <c r="AE41" s="2250"/>
      <c r="AF41" s="2250"/>
      <c r="AG41" s="2250"/>
      <c r="AH41" s="2250"/>
      <c r="AI41" s="2250"/>
      <c r="AJ41" s="2251"/>
      <c r="AK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7"/>
      <c r="AN41" s="507" t="str">
        <f>IF(T41="","",T41)</f>
        <v>Наименование тарифа</v>
      </c>
      <c r="AO41" s="507"/>
      <c r="AP41" s="507"/>
      <c r="AQ41" s="1162">
        <v>23</v>
      </c>
    </row>
    <row customHeight="1" ht="24">
      <c r="A42" s="1370" t="s">
        <v>399</v>
      </c>
      <c r="B42" s="1370" t="s">
        <v>400</v>
      </c>
      <c r="C42" s="1370"/>
      <c r="D42" s="1370"/>
      <c r="E42" s="2266"/>
      <c r="F42" s="2265">
        <v>1</v>
      </c>
      <c r="G42" s="1370"/>
      <c r="H42" s="1370"/>
      <c r="I42" s="1370"/>
      <c r="J42" s="1370"/>
      <c r="K42" s="1370"/>
      <c r="L42" s="1371"/>
      <c r="M42" s="1372"/>
      <c r="N42" s="1372"/>
      <c r="O42" s="1372"/>
      <c r="P42" s="1460"/>
      <c r="Q42" s="359"/>
      <c r="R42" s="360"/>
      <c r="S42" s="1464" t="str">
        <f>INDEX(PT_DIFFERENTIATION_NUM_TER,MATCH(B42,PT_DIFFERENTIATION_TER_ID,0))</f>
        <v>.</v>
      </c>
      <c r="T42" s="315" t="s">
        <v>560</v>
      </c>
      <c r="U42" s="307"/>
      <c r="V42" s="2249"/>
      <c r="W42" s="2250"/>
      <c r="X42" s="2250"/>
      <c r="Y42" s="2250"/>
      <c r="Z42" s="2250"/>
      <c r="AA42" s="2250"/>
      <c r="AB42" s="2251"/>
      <c r="AC42" s="2249" t="str">
        <f>INDEX(PT_DIFFERENTIATION_TER,MATCH(B42,PT_DIFFERENTIATION_TER_ID,0))</f>
        <v/>
      </c>
      <c r="AD42" s="2250"/>
      <c r="AE42" s="2250"/>
      <c r="AF42" s="2250"/>
      <c r="AG42" s="2250"/>
      <c r="AH42" s="2250"/>
      <c r="AI42" s="2250"/>
      <c r="AJ42" s="2251"/>
      <c r="AK42" s="1265" t="s">
        <v>561</v>
      </c>
      <c r="AM42" s="507"/>
      <c r="AN42" s="507" t="str">
        <f>IF(T42="","",T42)</f>
        <v>Территория действия тарифа</v>
      </c>
      <c r="AO42" s="507"/>
      <c r="AP42" s="507"/>
      <c r="AQ42" s="1162">
        <v>23</v>
      </c>
    </row>
    <row customHeight="1" ht="24">
      <c r="A43" s="1370" t="s">
        <v>399</v>
      </c>
      <c r="B43" s="1370" t="s">
        <v>400</v>
      </c>
      <c r="C43" s="1370" t="s">
        <v>401</v>
      </c>
      <c r="D43" s="1370"/>
      <c r="E43" s="2266"/>
      <c r="F43" s="2266"/>
      <c r="G43" s="2265">
        <v>1</v>
      </c>
      <c r="H43" s="1370"/>
      <c r="I43" s="1370"/>
      <c r="J43" s="1370"/>
      <c r="K43" s="1370"/>
      <c r="L43" s="1371"/>
      <c r="M43" s="1372"/>
      <c r="N43" s="1372"/>
      <c r="O43" s="1372"/>
      <c r="P43" s="361"/>
      <c r="Q43" s="359"/>
      <c r="R43" s="360"/>
      <c r="S43" s="1464" t="str">
        <f>INDEX(PT_DIFFERENTIATION_NUM_CS,MATCH(C43,PT_DIFFERENTIATION_CS_ID,0))</f>
        <v>..</v>
      </c>
      <c r="T43" s="316" t="s">
        <v>641</v>
      </c>
      <c r="U43" s="307"/>
      <c r="V43" s="2249"/>
      <c r="W43" s="2250"/>
      <c r="X43" s="2250"/>
      <c r="Y43" s="2250"/>
      <c r="Z43" s="2250"/>
      <c r="AA43" s="2250"/>
      <c r="AB43" s="2251"/>
      <c r="AC43" s="2249" t="str">
        <f>INDEX(PT_DIFFERENTIATION_CS,MATCH(C43,PT_DIFFERENTIATION_CS_ID,0))</f>
        <v/>
      </c>
      <c r="AD43" s="2250"/>
      <c r="AE43" s="2250"/>
      <c r="AF43" s="2250"/>
      <c r="AG43" s="2250"/>
      <c r="AH43" s="2250"/>
      <c r="AI43" s="2250"/>
      <c r="AJ43" s="2251"/>
      <c r="AK43" s="1265" t="s">
        <v>642</v>
      </c>
      <c r="AM43" s="507"/>
      <c r="AN43" s="507" t="str">
        <f>IF(T43="","",T43)</f>
        <v>Наименование централизованной системы холодного водоснабжения</v>
      </c>
      <c r="AO43" s="507"/>
      <c r="AP43" s="507"/>
      <c r="AQ43" s="1162">
        <v>23</v>
      </c>
    </row>
    <row customHeight="1" ht="24">
      <c r="A44" s="1370" t="s">
        <v>399</v>
      </c>
      <c r="B44" s="1370" t="s">
        <v>400</v>
      </c>
      <c r="C44" s="1370" t="s">
        <v>401</v>
      </c>
      <c r="D44" s="1370" t="s">
        <v>659</v>
      </c>
      <c r="E44" s="2266"/>
      <c r="F44" s="2266"/>
      <c r="G44" s="2266"/>
      <c r="H44" s="2266"/>
      <c r="I44" s="2263" t="str">
        <f>S43&amp;".1"</f>
        <v>...1</v>
      </c>
      <c r="J44" s="1370"/>
      <c r="K44" s="1370"/>
      <c r="L44" s="1371"/>
      <c r="P44" s="2264">
        <v>1</v>
      </c>
      <c r="Q44" s="1457"/>
      <c r="R44" s="363"/>
      <c r="S44" s="1464" t="str">
        <f>$I44</f>
        <v>...1</v>
      </c>
      <c r="T44" s="292" t="s">
        <v>643</v>
      </c>
      <c r="U44" s="307"/>
      <c r="V44" s="2357"/>
      <c r="W44" s="2358"/>
      <c r="X44" s="2358"/>
      <c r="Y44" s="2358"/>
      <c r="Z44" s="2358"/>
      <c r="AA44" s="2358"/>
      <c r="AB44" s="2359"/>
      <c r="AC44" s="2360"/>
      <c r="AD44" s="2361"/>
      <c r="AE44" s="2361"/>
      <c r="AF44" s="2361"/>
      <c r="AG44" s="2361"/>
      <c r="AH44" s="2361"/>
      <c r="AI44" s="2361"/>
      <c r="AJ44" s="2362"/>
      <c r="AK44" s="1265" t="s">
        <v>644</v>
      </c>
      <c r="AM44" s="507"/>
      <c r="AN44" s="507" t="str">
        <f>IF(T44="","",T44)</f>
        <v>Наименование признака дифференциации</v>
      </c>
      <c r="AO44" s="507"/>
      <c r="AP44" s="507"/>
      <c r="AQ44" s="1162">
        <v>23</v>
      </c>
    </row>
    <row customHeight="1" ht="24">
      <c r="A45" s="1370" t="s">
        <v>399</v>
      </c>
      <c r="B45" s="1370" t="s">
        <v>400</v>
      </c>
      <c r="C45" s="1370" t="s">
        <v>401</v>
      </c>
      <c r="D45" s="1370" t="s">
        <v>659</v>
      </c>
      <c r="E45" s="2266"/>
      <c r="F45" s="2266"/>
      <c r="G45" s="2266"/>
      <c r="H45" s="2266"/>
      <c r="I45" s="2293"/>
      <c r="J45" s="2263" t="str">
        <f>I44&amp;".1"</f>
        <v>...1.1</v>
      </c>
      <c r="K45" s="1370"/>
      <c r="L45" s="1371" t="s">
        <v>569</v>
      </c>
      <c r="P45" s="2264"/>
      <c r="Q45" s="2264">
        <v>1</v>
      </c>
      <c r="R45" s="364"/>
      <c r="S45" s="1464" t="str">
        <f>$J45</f>
        <v>...1.1</v>
      </c>
      <c r="T45" s="293" t="s">
        <v>570</v>
      </c>
      <c r="U45" s="307"/>
      <c r="V45" s="2252"/>
      <c r="W45" s="2253"/>
      <c r="X45" s="2253"/>
      <c r="Y45" s="2253"/>
      <c r="Z45" s="2253"/>
      <c r="AA45" s="2253"/>
      <c r="AB45" s="2254"/>
      <c r="AC45" s="2252"/>
      <c r="AD45" s="2253"/>
      <c r="AE45" s="2253"/>
      <c r="AF45" s="2253"/>
      <c r="AG45" s="2253"/>
      <c r="AH45" s="2253"/>
      <c r="AI45" s="2253"/>
      <c r="AJ45" s="2254"/>
      <c r="AK45" s="1314" t="s">
        <v>645</v>
      </c>
      <c r="AM45" s="507"/>
      <c r="AN45" s="507" t="str">
        <f>IF(T45="","",T45)</f>
        <v>Группа потребителей</v>
      </c>
      <c r="AO45" s="507"/>
      <c r="AP45" s="507"/>
      <c r="AQ45" s="1162">
        <v>23</v>
      </c>
    </row>
    <row customHeight="1" ht="24">
      <c r="A46" s="1370" t="s">
        <v>399</v>
      </c>
      <c r="B46" s="1370" t="s">
        <v>400</v>
      </c>
      <c r="C46" s="1370" t="s">
        <v>401</v>
      </c>
      <c r="D46" s="1370" t="s">
        <v>659</v>
      </c>
      <c r="E46" s="2266"/>
      <c r="F46" s="2266"/>
      <c r="G46" s="2266"/>
      <c r="H46" s="2266"/>
      <c r="I46" s="2293"/>
      <c r="J46" s="2293"/>
      <c r="K46" s="2263" t="str">
        <f>J45&amp;".1"</f>
        <v>...1.1.1</v>
      </c>
      <c r="L46" s="1371"/>
      <c r="P46" s="2264"/>
      <c r="Q46" s="2264"/>
      <c r="R46" s="364">
        <v>1</v>
      </c>
      <c r="S46" s="1464" t="str">
        <f>$K46</f>
        <v>...1.1.1</v>
      </c>
      <c r="T46" s="1444"/>
      <c r="U46" s="307"/>
      <c r="V46" s="758"/>
      <c r="W46" s="758"/>
      <c r="X46" s="1264"/>
      <c r="Y46" s="2272"/>
      <c r="Z46" s="2114" t="s">
        <v>66</v>
      </c>
      <c r="AA46" s="2272"/>
      <c r="AB46" s="2114" t="s">
        <v>66</v>
      </c>
      <c r="AC46" s="758"/>
      <c r="AD46" s="758"/>
      <c r="AE46" s="1264"/>
      <c r="AF46" s="2272"/>
      <c r="AG46" s="2114" t="s">
        <v>66</v>
      </c>
      <c r="AH46" s="2294"/>
      <c r="AI46" s="2114" t="s">
        <v>66</v>
      </c>
      <c r="AJ46" s="1445"/>
      <c r="AK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8">
        <f>STRCHECKDATE(V47:AJ47)</f>
      </c>
      <c r="AM46" s="507"/>
      <c r="AN46" s="507" t="str">
        <f>IF(T46="","",T46)</f>
        <v/>
      </c>
      <c r="AO46" s="507"/>
      <c r="AP46" s="507"/>
      <c r="AQ46" s="1162">
        <v>23</v>
      </c>
    </row>
    <row customHeight="1" ht="0">
      <c r="A47" s="1370" t="s">
        <v>399</v>
      </c>
      <c r="B47" s="1370" t="s">
        <v>400</v>
      </c>
      <c r="C47" s="1370" t="s">
        <v>401</v>
      </c>
      <c r="D47" s="1370" t="s">
        <v>659</v>
      </c>
      <c r="E47" s="2266"/>
      <c r="F47" s="2266"/>
      <c r="G47" s="2266"/>
      <c r="H47" s="2266"/>
      <c r="I47" s="2293"/>
      <c r="J47" s="2293"/>
      <c r="K47" s="2263"/>
      <c r="L47" s="1371"/>
      <c r="P47" s="2264"/>
      <c r="Q47" s="2264"/>
      <c r="R47" s="364"/>
      <c r="S47" s="1463"/>
      <c r="T47" s="307"/>
      <c r="U47" s="307"/>
      <c r="V47" s="332"/>
      <c r="W47" s="332"/>
      <c r="X47" s="335" t="str">
        <f>Y46&amp;"-"&amp;AA46</f>
        <v>-</v>
      </c>
      <c r="Y47" s="2273"/>
      <c r="Z47" s="2114"/>
      <c r="AA47" s="2273"/>
      <c r="AB47" s="2114"/>
      <c r="AC47" s="332"/>
      <c r="AD47" s="332"/>
      <c r="AE47" s="335" t="str">
        <f>AF46&amp;"-"&amp;AH46</f>
        <v>-</v>
      </c>
      <c r="AF47" s="2273"/>
      <c r="AG47" s="2114"/>
      <c r="AH47" s="2295"/>
      <c r="AI47" s="2114"/>
      <c r="AJ47" s="1446"/>
      <c r="AK47" s="2356"/>
      <c r="AM47" s="507"/>
      <c r="AN47" s="507" t="str">
        <f>IF(T47="","",T47)</f>
        <v/>
      </c>
      <c r="AO47" s="507"/>
      <c r="AP47" s="507"/>
      <c r="AQ47" s="1162">
        <v>0</v>
      </c>
    </row>
    <row customHeight="1" ht="21">
      <c r="A48" s="1370" t="s">
        <v>399</v>
      </c>
      <c r="B48" s="1370" t="s">
        <v>400</v>
      </c>
      <c r="C48" s="1370" t="s">
        <v>401</v>
      </c>
      <c r="D48" s="1370" t="s">
        <v>659</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374"/>
      <c r="AK48" s="1265" t="s">
        <v>647</v>
      </c>
      <c r="AM48" s="507"/>
      <c r="AN48" s="507" t="str">
        <f>IF(T48="","",T48)</f>
        <v>Добавить значение признака дифференциации</v>
      </c>
      <c r="AO48" s="507"/>
      <c r="AP48" s="507"/>
      <c r="AQ48" s="1162">
        <v>20</v>
      </c>
    </row>
    <row customHeight="1" ht="22.049999999999997">
      <c r="A49" s="1370" t="s">
        <v>399</v>
      </c>
      <c r="B49" s="1370" t="s">
        <v>400</v>
      </c>
      <c r="C49" s="1370" t="s">
        <v>401</v>
      </c>
      <c r="D49" s="1370" t="s">
        <v>659</v>
      </c>
      <c r="E49" s="2266"/>
      <c r="F49" s="2266"/>
      <c r="G49" s="2266"/>
      <c r="H49" s="2266"/>
      <c r="I49" s="2263"/>
      <c r="J49" s="1370"/>
      <c r="K49" s="1370"/>
      <c r="L49" s="1371"/>
      <c r="P49" s="2264"/>
      <c r="Q49" s="1457"/>
      <c r="R49" s="363"/>
      <c r="S49" s="1285"/>
      <c r="T49" s="372" t="s">
        <v>575</v>
      </c>
      <c r="U49" s="374"/>
      <c r="V49" s="374"/>
      <c r="W49" s="374"/>
      <c r="X49" s="374"/>
      <c r="Y49" s="374"/>
      <c r="Z49" s="374"/>
      <c r="AA49" s="374"/>
      <c r="AB49" s="373"/>
      <c r="AC49" s="374"/>
      <c r="AD49" s="374"/>
      <c r="AE49" s="374"/>
      <c r="AF49" s="374"/>
      <c r="AG49" s="374"/>
      <c r="AH49" s="374"/>
      <c r="AI49" s="373"/>
      <c r="AJ49" s="374"/>
      <c r="AK49" s="1447"/>
      <c r="AM49" s="507"/>
      <c r="AN49" s="507" t="str">
        <f>IF(T49="","",T49)</f>
        <v>Добавить группу потребителей</v>
      </c>
      <c r="AO49" s="507"/>
      <c r="AP49" s="507"/>
      <c r="AQ49" s="1162">
        <v>21</v>
      </c>
    </row>
    <row customHeight="1" ht="22.049999999999997">
      <c r="A50" s="1370" t="s">
        <v>399</v>
      </c>
      <c r="B50" s="1370" t="s">
        <v>400</v>
      </c>
      <c r="C50" s="1370" t="s">
        <v>401</v>
      </c>
      <c r="D50" s="1370" t="s">
        <v>659</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374"/>
      <c r="AK50" s="310"/>
      <c r="AM50" s="507"/>
      <c r="AN50" s="507" t="str">
        <f>IF(T50="","",T50)</f>
        <v>Добавить наименование признака дифференциации</v>
      </c>
      <c r="AO50" s="507"/>
      <c r="AP50" s="507"/>
      <c r="AQ50" s="1162">
        <v>21</v>
      </c>
    </row>
    <row s="1649" customFormat="1" customHeight="1" ht="0">
      <c r="A51" s="1350" t="s">
        <v>399</v>
      </c>
      <c r="B51" s="1350" t="s">
        <v>400</v>
      </c>
      <c r="C51" s="1321"/>
      <c r="D51" s="1321"/>
      <c r="E51" s="2266"/>
      <c r="F51" s="2265"/>
      <c r="G51" s="1321"/>
      <c r="H51" s="1321"/>
      <c r="I51" s="1321"/>
      <c r="J51" s="1321"/>
      <c r="K51" s="1321"/>
      <c r="L51" s="1465"/>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M51" s="796"/>
      <c r="AN51" s="796" t="str">
        <f>IF(T51="","",T51)</f>
        <v>Добавить централизованную систему для дифференциации</v>
      </c>
      <c r="AO51" s="796"/>
      <c r="AP51" s="796"/>
      <c r="AQ51" s="525">
        <v>0</v>
      </c>
    </row>
    <row s="1649" customFormat="1" customHeight="1" ht="0">
      <c r="A52" s="1350" t="s">
        <v>399</v>
      </c>
      <c r="B52" s="1350"/>
      <c r="C52" s="1350"/>
      <c r="D52" s="1350"/>
      <c r="E52" s="2265"/>
      <c r="F52" s="1350"/>
      <c r="G52" s="1350"/>
      <c r="H52" s="1350"/>
      <c r="I52" s="1350"/>
      <c r="J52" s="1350"/>
      <c r="K52" s="1350"/>
      <c r="L52" s="1353"/>
      <c r="M52" s="1328"/>
      <c r="N52" s="1328"/>
      <c r="O52" s="525"/>
      <c r="P52" s="387"/>
      <c r="Q52" s="1351"/>
      <c r="R52" s="387"/>
      <c r="S52" s="1329"/>
      <c r="T52" s="1332" t="s">
        <v>390</v>
      </c>
      <c r="U52" s="1331"/>
      <c r="V52" s="1331"/>
      <c r="W52" s="1331"/>
      <c r="X52" s="1331"/>
      <c r="Y52" s="1331"/>
      <c r="Z52" s="1331"/>
      <c r="AA52" s="1331"/>
      <c r="AB52" s="1331"/>
      <c r="AC52" s="1331"/>
      <c r="AD52" s="1331"/>
      <c r="AE52" s="1331"/>
      <c r="AF52" s="1331"/>
      <c r="AG52" s="1331"/>
      <c r="AH52" s="1331"/>
      <c r="AI52" s="1331"/>
      <c r="AJ52" s="1331"/>
      <c r="AK52" s="1331"/>
      <c r="AM52" s="507"/>
      <c r="AN52" s="507" t="str">
        <f>IF(T52="","",T52)</f>
        <v>Добавить территорию для дифференциации</v>
      </c>
      <c r="AO52" s="507"/>
      <c r="AP52" s="507"/>
      <c r="AQ52" s="518">
        <v>0</v>
      </c>
    </row>
    <row s="1649" customFormat="1" customHeight="1" ht="0">
      <c r="A53" s="1321"/>
      <c r="B53" s="1321"/>
      <c r="C53" s="1321"/>
      <c r="D53" s="1321"/>
      <c r="E53" s="1350"/>
      <c r="F53" s="1321"/>
      <c r="G53" s="1321"/>
      <c r="H53" s="1321"/>
      <c r="I53" s="1321"/>
      <c r="J53" s="1321"/>
      <c r="K53" s="1321"/>
      <c r="L53" s="1465"/>
      <c r="M53" s="1328"/>
      <c r="N53" s="1328"/>
      <c r="P53" s="1323"/>
      <c r="Q53" s="1324"/>
      <c r="R53" s="1323"/>
      <c r="S53" s="1329"/>
      <c r="T53" s="1332" t="s">
        <v>391</v>
      </c>
      <c r="U53" s="1331"/>
      <c r="V53" s="1331"/>
      <c r="W53" s="1331"/>
      <c r="X53" s="1331"/>
      <c r="Y53" s="1331"/>
      <c r="Z53" s="1331"/>
      <c r="AA53" s="1331"/>
      <c r="AB53" s="1331"/>
      <c r="AC53" s="1331"/>
      <c r="AD53" s="1331"/>
      <c r="AE53" s="1331"/>
      <c r="AF53" s="1331"/>
      <c r="AG53" s="1331"/>
      <c r="AH53" s="1331"/>
      <c r="AI53" s="1331"/>
      <c r="AJ53" s="1331"/>
      <c r="AK53" s="1331"/>
      <c r="AM53" s="796"/>
      <c r="AN53" s="796" t="str">
        <f>IF(T53="","",T53)</f>
        <v>Добавить наименование тарифа</v>
      </c>
      <c r="AO53" s="796"/>
      <c r="AP53" s="796"/>
      <c r="AQ53" s="525">
        <v>0</v>
      </c>
    </row>
    <row customHeight="1" ht="11.549999999999999">
      <c r="M54" s="1167"/>
      <c r="N54" s="1167"/>
      <c r="O54" s="544"/>
      <c r="P54" s="1162"/>
      <c r="Q54" s="1162"/>
      <c r="R54" s="1162"/>
      <c r="S54" s="1162"/>
      <c r="AL54" s="1162"/>
      <c r="AM54" s="1162"/>
      <c r="AN54" s="1162"/>
      <c r="AO54" s="1162"/>
      <c r="AP54" s="1162"/>
      <c r="AQ54" s="1162">
        <v>11</v>
      </c>
    </row>
    <row customHeight="1" ht="14.699999999999998">
      <c r="O55" s="544"/>
      <c r="S55" s="1260"/>
      <c r="T55" s="2292"/>
      <c r="U55" s="2292"/>
      <c r="V55" s="2292"/>
      <c r="W55" s="2292"/>
      <c r="X55" s="2292"/>
      <c r="Y55" s="2292"/>
      <c r="Z55" s="2292"/>
      <c r="AA55" s="2292"/>
      <c r="AB55" s="2292"/>
      <c r="AC55" s="2292"/>
      <c r="AD55" s="2292"/>
      <c r="AE55" s="2292"/>
      <c r="AF55" s="2292"/>
      <c r="AG55" s="2292"/>
      <c r="AH55" s="2292"/>
      <c r="AI55" s="2292"/>
      <c r="AJ55" s="2292"/>
      <c r="AK55" s="2292"/>
      <c r="AQ55" s="1162">
        <v>14</v>
      </c>
    </row>
    <row customHeight="1" ht="14.699999999999998">
      <c r="O56" s="544"/>
      <c r="AQ56" s="1162">
        <v>14</v>
      </c>
    </row>
    <row customHeight="1" ht="14.699999999999998">
      <c r="O57" s="544"/>
      <c r="S57" s="1260"/>
      <c r="T57" s="2292"/>
      <c r="U57" s="2292"/>
      <c r="V57" s="2292"/>
      <c r="W57" s="2292"/>
      <c r="X57" s="2292"/>
      <c r="Y57" s="2292"/>
      <c r="Z57" s="2292"/>
      <c r="AA57" s="2292"/>
      <c r="AB57" s="2292"/>
      <c r="AC57" s="2292"/>
      <c r="AD57" s="2292"/>
      <c r="AE57" s="2292"/>
      <c r="AF57" s="2292"/>
      <c r="AG57" s="2292"/>
      <c r="AH57" s="2292"/>
      <c r="AI57" s="2292"/>
      <c r="AJ57" s="2292"/>
      <c r="AK57" s="2292"/>
      <c r="AQ57" s="1162">
        <v>14</v>
      </c>
    </row>
    <row customHeight="1" ht="22.5" hidden="1">
      <c r="A58" s="1167" t="s">
        <v>82</v>
      </c>
      <c r="B58" s="1167">
        <v>0</v>
      </c>
      <c r="C58" s="1167">
        <v>0</v>
      </c>
      <c r="D58" s="1167">
        <v>0</v>
      </c>
      <c r="E58" s="1167">
        <v>0</v>
      </c>
      <c r="F58" s="1167">
        <v>0</v>
      </c>
      <c r="G58" s="1167">
        <v>0</v>
      </c>
      <c r="H58" s="1167">
        <v>0</v>
      </c>
      <c r="I58" s="1167">
        <v>0</v>
      </c>
      <c r="J58" s="1167">
        <v>0</v>
      </c>
      <c r="K58" s="1167">
        <v>0</v>
      </c>
      <c r="L58" s="1454">
        <v>0</v>
      </c>
      <c r="M58" s="1369">
        <v>0</v>
      </c>
      <c r="N58" s="1369">
        <v>0</v>
      </c>
      <c r="O58" s="1369">
        <v>0</v>
      </c>
      <c r="P58" s="1453">
        <v>3</v>
      </c>
      <c r="Q58" s="351">
        <v>3</v>
      </c>
      <c r="R58" s="351">
        <v>3</v>
      </c>
      <c r="S58" s="588">
        <v>12</v>
      </c>
      <c r="T58" s="1162">
        <v>35</v>
      </c>
      <c r="U58" s="1162">
        <v>0</v>
      </c>
      <c r="V58" s="1162">
        <v>0</v>
      </c>
      <c r="W58" s="1162">
        <v>0</v>
      </c>
      <c r="X58" s="1162">
        <v>0</v>
      </c>
      <c r="Y58" s="1162">
        <v>0</v>
      </c>
      <c r="Z58" s="1162">
        <v>0</v>
      </c>
      <c r="AA58" s="1162">
        <v>0</v>
      </c>
      <c r="AB58" s="1162">
        <v>0</v>
      </c>
      <c r="AC58" s="1162">
        <v>24</v>
      </c>
      <c r="AD58" s="1162">
        <v>24</v>
      </c>
      <c r="AE58" s="1162">
        <v>24</v>
      </c>
      <c r="AF58" s="1162">
        <v>11</v>
      </c>
      <c r="AG58" s="1162">
        <v>3</v>
      </c>
      <c r="AH58" s="1162">
        <v>11</v>
      </c>
      <c r="AI58" s="1162">
        <v>0</v>
      </c>
      <c r="AJ58" s="1162">
        <v>4</v>
      </c>
      <c r="AK58" s="1162">
        <v>115</v>
      </c>
      <c r="AL58" s="518">
        <v>10</v>
      </c>
      <c r="AM58" s="518">
        <v>10</v>
      </c>
      <c r="AN58" s="518">
        <v>10</v>
      </c>
      <c r="AO58" s="518">
        <v>10</v>
      </c>
      <c r="AP58" s="518">
        <v>10</v>
      </c>
      <c r="AQ58" s="116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5DDC29-F6A6-9FA8-2545-81A25102E578}"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29" style="1642" width="24.7109375" customWidth="1"/>
    <col min="30" max="31" style="1642" width="24.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22.5" hidden="1">
      <c r="X1" s="334"/>
      <c r="Y1" s="334"/>
      <c r="AE1" s="334"/>
      <c r="AF1" s="334"/>
      <c r="AQ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464">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51"/>
      <c r="AK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7"/>
      <c r="AN2" s="507" t="str">
        <f>IF(T2="","",T2)</f>
        <v>Наименование тарифа</v>
      </c>
      <c r="AO2" s="507"/>
      <c r="AP2" s="507"/>
      <c r="AQ2" s="1162">
        <v>0</v>
      </c>
    </row>
    <row customHeight="1" ht="23.25" hidden="1">
      <c r="A3" s="1370"/>
      <c r="B3" s="1370"/>
      <c r="C3" s="1370"/>
      <c r="D3" s="1370"/>
      <c r="E3" s="2266"/>
      <c r="F3" s="2265">
        <v>1</v>
      </c>
      <c r="G3" s="1370"/>
      <c r="H3" s="1370"/>
      <c r="I3" s="1370"/>
      <c r="J3" s="1370"/>
      <c r="K3" s="1370"/>
      <c r="L3" s="1371"/>
      <c r="M3" s="1372"/>
      <c r="N3" s="1372"/>
      <c r="O3" s="1372"/>
      <c r="P3" s="1460"/>
      <c r="Q3" s="359"/>
      <c r="R3" s="360"/>
      <c r="S3" s="1464">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51"/>
      <c r="AK3" s="1265" t="s">
        <v>561</v>
      </c>
      <c r="AM3" s="507"/>
      <c r="AN3" s="507" t="str">
        <f>IF(T3="","",T3)</f>
        <v>Территория действия тарифа</v>
      </c>
      <c r="AO3" s="507"/>
      <c r="AP3" s="507"/>
      <c r="AQ3" s="1162">
        <v>0</v>
      </c>
    </row>
    <row customHeight="1" ht="23.25" hidden="1">
      <c r="A4" s="1370"/>
      <c r="B4" s="1370"/>
      <c r="C4" s="1370"/>
      <c r="D4" s="1370"/>
      <c r="E4" s="2266"/>
      <c r="F4" s="2266"/>
      <c r="G4" s="2265">
        <v>1</v>
      </c>
      <c r="H4" s="1370"/>
      <c r="I4" s="1370"/>
      <c r="J4" s="1370"/>
      <c r="K4" s="1370"/>
      <c r="L4" s="1371"/>
      <c r="M4" s="1372"/>
      <c r="N4" s="1372"/>
      <c r="O4" s="1372"/>
      <c r="P4" s="361"/>
      <c r="Q4" s="359"/>
      <c r="R4" s="360"/>
      <c r="S4" s="1464">
        <f>INDEX(PT_DIFFERENTIATION_NUM_CS,MATCH(C4,PT_DIFFERENTIATION_CS_ID,0))</f>
      </c>
      <c r="T4" s="316" t="s">
        <v>641</v>
      </c>
      <c r="U4" s="307"/>
      <c r="V4" s="2249"/>
      <c r="W4" s="2250"/>
      <c r="X4" s="2250"/>
      <c r="Y4" s="2250"/>
      <c r="Z4" s="2250"/>
      <c r="AA4" s="2250"/>
      <c r="AB4" s="2251"/>
      <c r="AC4" s="2249">
        <f>INDEX(PT_DIFFERENTIATION_CS,MATCH(C4,PT_DIFFERENTIATION_CS_ID,0))</f>
      </c>
      <c r="AD4" s="2250"/>
      <c r="AE4" s="2250"/>
      <c r="AF4" s="2250"/>
      <c r="AG4" s="2250"/>
      <c r="AH4" s="2250"/>
      <c r="AI4" s="2250"/>
      <c r="AJ4" s="2251"/>
      <c r="AK4" s="1265" t="s">
        <v>642</v>
      </c>
      <c r="AM4" s="507"/>
      <c r="AN4" s="507" t="str">
        <f>IF(T4="","",T4)</f>
        <v>Наименование централизованной системы холодного водоснабжения</v>
      </c>
      <c r="AO4" s="507"/>
      <c r="AP4" s="507"/>
      <c r="AQ4" s="1162">
        <v>0</v>
      </c>
    </row>
    <row customHeight="1" ht="23.25" hidden="1">
      <c r="A5" s="1370"/>
      <c r="B5" s="1370"/>
      <c r="C5" s="1370"/>
      <c r="D5" s="1370"/>
      <c r="E5" s="2266"/>
      <c r="F5" s="2266"/>
      <c r="G5" s="2266"/>
      <c r="H5" s="2266"/>
      <c r="I5" s="2263">
        <f>S4&amp;".1"</f>
      </c>
      <c r="J5" s="1370"/>
      <c r="K5" s="1370"/>
      <c r="L5" s="1371"/>
      <c r="P5" s="2264">
        <v>1</v>
      </c>
      <c r="Q5" s="1457"/>
      <c r="R5" s="363"/>
      <c r="S5" s="1464">
        <f>$I5</f>
      </c>
      <c r="T5" s="292" t="s">
        <v>643</v>
      </c>
      <c r="U5" s="307"/>
      <c r="V5" s="2357"/>
      <c r="W5" s="2358"/>
      <c r="X5" s="2358"/>
      <c r="Y5" s="2358"/>
      <c r="Z5" s="2358"/>
      <c r="AA5" s="2358"/>
      <c r="AB5" s="2359"/>
      <c r="AC5" s="2360"/>
      <c r="AD5" s="2361"/>
      <c r="AE5" s="2361"/>
      <c r="AF5" s="2361"/>
      <c r="AG5" s="2361"/>
      <c r="AH5" s="2361"/>
      <c r="AI5" s="2361"/>
      <c r="AJ5" s="2362"/>
      <c r="AK5" s="1265" t="s">
        <v>644</v>
      </c>
      <c r="AM5" s="507"/>
      <c r="AN5" s="507" t="str">
        <f>IF(T5="","",T5)</f>
        <v>Наименование признака дифференциации</v>
      </c>
      <c r="AO5" s="507"/>
      <c r="AP5" s="507"/>
      <c r="AQ5" s="1162">
        <v>0</v>
      </c>
    </row>
    <row customHeight="1" ht="23.25" hidden="1">
      <c r="A6" s="1370"/>
      <c r="B6" s="1370"/>
      <c r="C6" s="1370"/>
      <c r="D6" s="1370"/>
      <c r="E6" s="2266"/>
      <c r="F6" s="2266"/>
      <c r="G6" s="2266"/>
      <c r="H6" s="2266"/>
      <c r="I6" s="2293"/>
      <c r="J6" s="2263">
        <f>I5&amp;".1"</f>
      </c>
      <c r="K6" s="1370"/>
      <c r="L6" s="1371" t="s">
        <v>569</v>
      </c>
      <c r="P6" s="2264"/>
      <c r="Q6" s="2264">
        <v>1</v>
      </c>
      <c r="R6" s="364"/>
      <c r="S6" s="1464">
        <f>$J6</f>
      </c>
      <c r="T6" s="293" t="s">
        <v>570</v>
      </c>
      <c r="U6" s="307"/>
      <c r="V6" s="2252"/>
      <c r="W6" s="2253"/>
      <c r="X6" s="2253"/>
      <c r="Y6" s="2253"/>
      <c r="Z6" s="2253"/>
      <c r="AA6" s="2253"/>
      <c r="AB6" s="2254"/>
      <c r="AC6" s="2252"/>
      <c r="AD6" s="2253"/>
      <c r="AE6" s="2253"/>
      <c r="AF6" s="2253"/>
      <c r="AG6" s="2253"/>
      <c r="AH6" s="2253"/>
      <c r="AI6" s="2253"/>
      <c r="AJ6" s="2254"/>
      <c r="AK6" s="1314" t="s">
        <v>645</v>
      </c>
      <c r="AM6" s="507"/>
      <c r="AN6" s="507" t="str">
        <f>IF(T6="","",T6)</f>
        <v>Группа потребителей</v>
      </c>
      <c r="AO6" s="507"/>
      <c r="AP6" s="507"/>
      <c r="AQ6" s="1162">
        <v>0</v>
      </c>
    </row>
    <row customHeight="1" ht="23.25" hidden="1">
      <c r="A7" s="1370"/>
      <c r="B7" s="1370"/>
      <c r="C7" s="1370"/>
      <c r="D7" s="1370"/>
      <c r="E7" s="2266"/>
      <c r="F7" s="2266"/>
      <c r="G7" s="2266"/>
      <c r="H7" s="2266"/>
      <c r="I7" s="2293"/>
      <c r="J7" s="2293"/>
      <c r="K7" s="2263">
        <f>J6&amp;".1"</f>
      </c>
      <c r="L7" s="1371"/>
      <c r="P7" s="2264"/>
      <c r="Q7" s="2264"/>
      <c r="R7" s="364">
        <v>1</v>
      </c>
      <c r="S7" s="1464">
        <f>$K7</f>
      </c>
      <c r="T7" s="1444"/>
      <c r="U7" s="307"/>
      <c r="V7" s="758"/>
      <c r="W7" s="758"/>
      <c r="X7" s="1264"/>
      <c r="Y7" s="2272"/>
      <c r="Z7" s="2114" t="s">
        <v>66</v>
      </c>
      <c r="AA7" s="2272"/>
      <c r="AB7" s="2114" t="s">
        <v>66</v>
      </c>
      <c r="AC7" s="758"/>
      <c r="AD7" s="758"/>
      <c r="AE7" s="1264"/>
      <c r="AF7" s="2272"/>
      <c r="AG7" s="2114" t="s">
        <v>66</v>
      </c>
      <c r="AH7" s="2294"/>
      <c r="AI7" s="2114" t="s">
        <v>66</v>
      </c>
      <c r="AJ7" s="1445"/>
      <c r="AK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8">
        <f>STRCHECKDATE(V8:AJ8)</f>
      </c>
      <c r="AM7" s="507"/>
      <c r="AN7" s="507" t="str">
        <f>IF(T7="","",T7)</f>
        <v/>
      </c>
      <c r="AO7" s="507"/>
      <c r="AP7" s="507"/>
      <c r="AQ7" s="1162">
        <v>0</v>
      </c>
    </row>
    <row customHeight="1" ht="14.25" hidden="1">
      <c r="A8" s="1370"/>
      <c r="B8" s="1370"/>
      <c r="C8" s="1370"/>
      <c r="D8" s="1370"/>
      <c r="E8" s="2266"/>
      <c r="F8" s="2266"/>
      <c r="G8" s="2266"/>
      <c r="H8" s="2266"/>
      <c r="I8" s="2293"/>
      <c r="J8" s="2293"/>
      <c r="K8" s="2263"/>
      <c r="L8" s="1371"/>
      <c r="P8" s="2264"/>
      <c r="Q8" s="2264"/>
      <c r="R8" s="364"/>
      <c r="S8" s="1463"/>
      <c r="T8" s="307"/>
      <c r="U8" s="307"/>
      <c r="V8" s="332"/>
      <c r="W8" s="332"/>
      <c r="X8" s="335" t="str">
        <f>Y7&amp;"-"&amp;AA7</f>
        <v>-</v>
      </c>
      <c r="Y8" s="2273"/>
      <c r="Z8" s="2114"/>
      <c r="AA8" s="2273"/>
      <c r="AB8" s="2114"/>
      <c r="AC8" s="332"/>
      <c r="AD8" s="332"/>
      <c r="AE8" s="335" t="str">
        <f>AF7&amp;"-"&amp;AH7</f>
        <v>-</v>
      </c>
      <c r="AF8" s="2273"/>
      <c r="AG8" s="2114"/>
      <c r="AH8" s="2295"/>
      <c r="AI8" s="2114"/>
      <c r="AJ8" s="1446"/>
      <c r="AK8" s="2356"/>
      <c r="AM8" s="507"/>
      <c r="AN8" s="507" t="str">
        <f>IF(T8="","",T8)</f>
        <v/>
      </c>
      <c r="AO8" s="507"/>
      <c r="AP8" s="507"/>
      <c r="AQ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374"/>
      <c r="AK9" s="1265" t="s">
        <v>647</v>
      </c>
      <c r="AM9" s="507"/>
      <c r="AN9" s="507" t="str">
        <f>IF(T9="","",T9)</f>
        <v>Добавить значение признака дифференциации</v>
      </c>
      <c r="AO9" s="507"/>
      <c r="AP9" s="507"/>
      <c r="AQ9" s="1162">
        <v>0</v>
      </c>
    </row>
    <row customHeight="1" ht="21" hidden="1">
      <c r="A10" s="1370"/>
      <c r="B10" s="1370"/>
      <c r="C10" s="1370"/>
      <c r="D10" s="1370"/>
      <c r="E10" s="2266"/>
      <c r="F10" s="2266"/>
      <c r="G10" s="2266"/>
      <c r="H10" s="2266"/>
      <c r="I10" s="2263"/>
      <c r="J10" s="1370"/>
      <c r="K10" s="1370"/>
      <c r="L10" s="1371"/>
      <c r="P10" s="2264"/>
      <c r="Q10" s="1457"/>
      <c r="R10" s="363"/>
      <c r="S10" s="1285"/>
      <c r="T10" s="372" t="s">
        <v>575</v>
      </c>
      <c r="U10" s="374"/>
      <c r="V10" s="374"/>
      <c r="W10" s="374"/>
      <c r="X10" s="374"/>
      <c r="Y10" s="374"/>
      <c r="Z10" s="374"/>
      <c r="AA10" s="374"/>
      <c r="AB10" s="373"/>
      <c r="AC10" s="374"/>
      <c r="AD10" s="374"/>
      <c r="AE10" s="374"/>
      <c r="AF10" s="374"/>
      <c r="AG10" s="374"/>
      <c r="AH10" s="374"/>
      <c r="AI10" s="373"/>
      <c r="AJ10" s="374"/>
      <c r="AK10" s="1447"/>
      <c r="AM10" s="507"/>
      <c r="AN10" s="507" t="str">
        <f>IF(T10="","",T10)</f>
        <v>Добавить группу потребителей</v>
      </c>
      <c r="AO10" s="507"/>
      <c r="AP10" s="507"/>
      <c r="AQ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374"/>
      <c r="AK11" s="310"/>
      <c r="AM11" s="507"/>
      <c r="AN11" s="507" t="str">
        <f>IF(T11="","",T11)</f>
        <v>Добавить наименование признака дифференциации</v>
      </c>
      <c r="AO11" s="507"/>
      <c r="AP11" s="507"/>
      <c r="AQ11" s="1162">
        <v>0</v>
      </c>
    </row>
    <row s="1649" customFormat="1" customHeight="1" ht="14.25" hidden="1">
      <c r="A12" s="1350"/>
      <c r="B12" s="1350"/>
      <c r="C12" s="1321"/>
      <c r="D12" s="1321"/>
      <c r="E12" s="2266"/>
      <c r="F12" s="2265"/>
      <c r="G12" s="1321"/>
      <c r="H12" s="1321"/>
      <c r="I12" s="1321"/>
      <c r="J12" s="1321"/>
      <c r="K12" s="1321"/>
      <c r="L12" s="1465"/>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M12" s="796"/>
      <c r="AN12" s="796" t="str">
        <f>IF(T12="","",T12)</f>
        <v>Добавить централизованную систему для дифференциации</v>
      </c>
      <c r="AO12" s="796"/>
      <c r="AP12" s="796"/>
      <c r="AQ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M13" s="507"/>
      <c r="AN13" s="507" t="str">
        <f>IF(T13="","",T13)</f>
        <v>Добавить территорию для дифференциации</v>
      </c>
      <c r="AO13" s="507"/>
      <c r="AP13" s="507"/>
      <c r="AQ13" s="518">
        <v>0</v>
      </c>
    </row>
    <row customHeight="1" ht="14.25" hidden="1">
      <c r="AB14" s="334"/>
      <c r="AI14" s="334"/>
      <c r="AQ14" s="1162">
        <v>0</v>
      </c>
    </row>
    <row customHeight="1" ht="14.25" hidden="1">
      <c r="AC15" s="1367"/>
      <c r="AD15" s="1367"/>
      <c r="AE15" s="1368"/>
      <c r="AF15" s="2274"/>
      <c r="AG15" s="2275" t="s">
        <v>66</v>
      </c>
      <c r="AH15" s="2274"/>
      <c r="AI15" s="2275" t="s">
        <v>66</v>
      </c>
      <c r="AQ15" s="1162">
        <v>0</v>
      </c>
    </row>
    <row customHeight="1" ht="14.25" hidden="1">
      <c r="AC16" s="1367"/>
      <c r="AD16" s="1367"/>
      <c r="AE16" s="335" t="str">
        <f>AF15&amp;"-"&amp;AH15</f>
        <v>-</v>
      </c>
      <c r="AF16" s="2275"/>
      <c r="AG16" s="2275"/>
      <c r="AH16" s="2275"/>
      <c r="AI16" s="2275"/>
      <c r="AQ16" s="1162">
        <v>0</v>
      </c>
    </row>
    <row customHeight="1" ht="14.25" hidden="1">
      <c r="AI17" s="334"/>
      <c r="AQ17" s="1162">
        <v>0</v>
      </c>
    </row>
    <row s="1373" customFormat="1" customHeight="1" ht="22.5" hidden="1">
      <c r="L18" s="1454"/>
      <c r="M18" s="1369"/>
      <c r="N18" s="1369"/>
      <c r="O18" s="1374" t="s">
        <v>578</v>
      </c>
      <c r="P18" s="1369"/>
      <c r="Q18" s="1378"/>
      <c r="R18" s="1378"/>
      <c r="S18" s="736"/>
      <c r="Y18" s="1374"/>
      <c r="AA18" s="1374"/>
      <c r="AB18" s="1373"/>
      <c r="AF18" s="1374"/>
      <c r="AH18" s="1374"/>
      <c r="AI18" s="1373"/>
      <c r="AL18" s="518"/>
      <c r="AM18" s="518"/>
      <c r="AN18" s="518"/>
      <c r="AO18" s="518"/>
      <c r="AP18" s="518"/>
      <c r="AQ18" s="1167">
        <v>0</v>
      </c>
    </row>
    <row s="1373" customFormat="1" customHeight="1" ht="14.25" hidden="1">
      <c r="L19" s="1454"/>
      <c r="M19" s="1369"/>
      <c r="N19" s="1369"/>
      <c r="O19" s="1369"/>
      <c r="P19" s="1369"/>
      <c r="Q19" s="1378"/>
      <c r="R19" s="1378"/>
      <c r="S19" s="736"/>
      <c r="AB19" s="1373"/>
      <c r="AI19" s="1373"/>
      <c r="AL19" s="518"/>
      <c r="AM19" s="518"/>
      <c r="AN19" s="518"/>
      <c r="AO19" s="518"/>
      <c r="AP19" s="518"/>
      <c r="AQ19" s="1167">
        <v>0</v>
      </c>
    </row>
    <row s="1373" customFormat="1" customHeight="1" ht="12" hidden="1">
      <c r="L20" s="1454"/>
      <c r="M20" s="1369"/>
      <c r="N20" s="1369"/>
      <c r="O20" s="1371" t="s">
        <v>579</v>
      </c>
      <c r="P20" s="1369"/>
      <c r="Q20" s="1449"/>
      <c r="R20" s="1449"/>
      <c r="S20" s="736"/>
      <c r="T20" s="1167" t="s">
        <v>580</v>
      </c>
      <c r="Z20" s="193" t="s">
        <v>581</v>
      </c>
      <c r="AB20" s="193" t="s">
        <v>582</v>
      </c>
      <c r="AC20" s="1167" t="s">
        <v>580</v>
      </c>
      <c r="AG20" s="193" t="s">
        <v>583</v>
      </c>
      <c r="AI20" s="193" t="s">
        <v>582</v>
      </c>
      <c r="AQ20" s="1167">
        <v>0</v>
      </c>
    </row>
    <row customHeight="1" ht="14.25" hidden="1">
      <c r="O21" s="1371"/>
      <c r="AQ21" s="1162">
        <v>0</v>
      </c>
    </row>
    <row customHeight="1" ht="14.25" hidden="1">
      <c r="O22" s="1371"/>
      <c r="AQ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Q23" s="1162">
        <v>14</v>
      </c>
    </row>
    <row customHeight="1" ht="14.699999999999998">
      <c r="Q24" s="383"/>
      <c r="R24" s="383"/>
      <c r="S24" s="2255"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5"/>
      <c r="U24" s="2255"/>
      <c r="V24" s="2255"/>
      <c r="W24" s="2255"/>
      <c r="X24" s="2255"/>
      <c r="Y24" s="2255"/>
      <c r="Z24" s="2255"/>
      <c r="AA24" s="2255"/>
      <c r="AB24" s="2255"/>
      <c r="AC24" s="2255"/>
      <c r="AD24" s="2255"/>
      <c r="AE24" s="2255"/>
      <c r="AF24" s="2255"/>
      <c r="AG24" s="2255"/>
      <c r="AH24" s="2255"/>
      <c r="AI24" s="1250"/>
      <c r="AQ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516"/>
      <c r="AQ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333"/>
      <c r="AK27" s="287"/>
      <c r="AL27" s="375"/>
      <c r="AM27" s="375"/>
      <c r="AN27" s="375"/>
      <c r="AO27" s="375"/>
      <c r="AP27" s="375"/>
      <c r="AQ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333"/>
      <c r="AK28" s="287"/>
      <c r="AL28" s="375"/>
      <c r="AM28" s="375"/>
      <c r="AN28" s="375"/>
      <c r="AO28" s="375"/>
      <c r="AP28" s="375"/>
      <c r="AQ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333"/>
      <c r="AK29" s="287"/>
      <c r="AL29" s="375"/>
      <c r="AM29" s="375"/>
      <c r="AN29" s="375"/>
      <c r="AO29" s="375"/>
      <c r="AP29" s="375"/>
      <c r="AQ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333"/>
      <c r="AK30" s="287"/>
      <c r="AL30" s="375"/>
      <c r="AM30" s="375"/>
      <c r="AN30" s="375"/>
      <c r="AO30" s="375"/>
      <c r="AP30" s="375"/>
      <c r="AQ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516"/>
      <c r="AQ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333"/>
      <c r="AK32" s="287"/>
      <c r="AL32" s="375"/>
      <c r="AM32" s="375"/>
      <c r="AN32" s="375"/>
      <c r="AO32" s="375"/>
      <c r="AP32" s="375"/>
      <c r="AQ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333"/>
      <c r="AK33" s="287"/>
      <c r="AL33" s="375"/>
      <c r="AM33" s="375"/>
      <c r="AN33" s="375"/>
      <c r="AO33" s="375"/>
      <c r="AP33" s="375"/>
      <c r="AQ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61"/>
      <c r="V34" s="333"/>
      <c r="W34" s="333"/>
      <c r="X34" s="333"/>
      <c r="Y34" s="333"/>
      <c r="Z34" s="333"/>
      <c r="AA34" s="333"/>
      <c r="AB34" s="285" t="s">
        <v>588</v>
      </c>
      <c r="AC34" s="333"/>
      <c r="AD34" s="333"/>
      <c r="AE34" s="333"/>
      <c r="AF34" s="333"/>
      <c r="AG34" s="333"/>
      <c r="AH34" s="333"/>
      <c r="AI34" s="285" t="s">
        <v>588</v>
      </c>
      <c r="AL34" s="375"/>
      <c r="AM34" s="375"/>
      <c r="AN34" s="375"/>
      <c r="AO34" s="375"/>
      <c r="AP34" s="375"/>
      <c r="AQ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Q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t="s">
        <v>464</v>
      </c>
      <c r="AQ36" s="1162">
        <v>14</v>
      </c>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287" t="s">
        <v>593</v>
      </c>
      <c r="AK37" s="2134"/>
      <c r="AQ37" s="1162">
        <v>14</v>
      </c>
    </row>
    <row customHeight="1" ht="35.699999999999996">
      <c r="Q38" s="383"/>
      <c r="R38" s="383"/>
      <c r="S38" s="2280"/>
      <c r="T38" s="2216"/>
      <c r="U38" s="1038"/>
      <c r="V38" s="1459" t="s">
        <v>649</v>
      </c>
      <c r="W38" s="2269" t="s">
        <v>596</v>
      </c>
      <c r="X38" s="2270"/>
      <c r="Y38" s="2269" t="s">
        <v>597</v>
      </c>
      <c r="Z38" s="2276"/>
      <c r="AA38" s="2270"/>
      <c r="AB38" s="2285"/>
      <c r="AC38" s="1459" t="s">
        <v>649</v>
      </c>
      <c r="AD38" s="2269" t="s">
        <v>596</v>
      </c>
      <c r="AE38" s="2270"/>
      <c r="AF38" s="2269" t="s">
        <v>597</v>
      </c>
      <c r="AG38" s="2276"/>
      <c r="AH38" s="2270"/>
      <c r="AI38" s="2285"/>
      <c r="AJ38" s="2288"/>
      <c r="AK38" s="2134"/>
      <c r="AQ38" s="1162">
        <v>34</v>
      </c>
    </row>
    <row customHeight="1" ht="35.699999999999996">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459" t="s">
        <v>652</v>
      </c>
      <c r="W39" s="1229" t="s">
        <v>653</v>
      </c>
      <c r="X39" s="1229" t="s">
        <v>654</v>
      </c>
      <c r="Y39" s="1462" t="s">
        <v>607</v>
      </c>
      <c r="Z39" s="2277" t="s">
        <v>608</v>
      </c>
      <c r="AA39" s="2278"/>
      <c r="AB39" s="2286"/>
      <c r="AC39" s="1459" t="s">
        <v>652</v>
      </c>
      <c r="AD39" s="1229" t="s">
        <v>653</v>
      </c>
      <c r="AE39" s="1229" t="s">
        <v>654</v>
      </c>
      <c r="AF39" s="1462" t="s">
        <v>607</v>
      </c>
      <c r="AG39" s="2277" t="s">
        <v>608</v>
      </c>
      <c r="AH39" s="2278"/>
      <c r="AI39" s="2286"/>
      <c r="AJ39" s="2289"/>
      <c r="AK39" s="2134"/>
      <c r="AQ39" s="1162">
        <v>34</v>
      </c>
    </row>
    <row s="1648" customFormat="1" customHeight="1" ht="0">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458">
        <f>OFFSET(V40,0,-1)+1</f>
        <v>3</v>
      </c>
      <c r="W40" s="1458">
        <f>OFFSET(W40,0,-1)+1</f>
        <v>4</v>
      </c>
      <c r="X40" s="1458">
        <f>OFFSET(X40,0,-1)+1</f>
        <v>5</v>
      </c>
      <c r="Y40" s="1458">
        <f>OFFSET(Y40,0,-1)+1</f>
        <v>6</v>
      </c>
      <c r="Z40" s="2279">
        <f>OFFSET(Z40,0,-1)+1</f>
        <v>7</v>
      </c>
      <c r="AA40" s="2279"/>
      <c r="AB40" s="1458">
        <f>OFFSET(AB40,0,-2)+1</f>
        <v>8</v>
      </c>
      <c r="AC40" s="1458">
        <f>OFFSET(AC40,0,-1)+1</f>
        <v>9</v>
      </c>
      <c r="AD40" s="1458">
        <f>OFFSET(AD40,0,-1)+1</f>
        <v>10</v>
      </c>
      <c r="AE40" s="1458">
        <f>OFFSET(AE40,0,-1)+1</f>
        <v>11</v>
      </c>
      <c r="AF40" s="1458">
        <f>OFFSET(AF40,0,-1)+1</f>
        <v>12</v>
      </c>
      <c r="AG40" s="2279">
        <f>OFFSET(AG40,0,-1)+1</f>
        <v>13</v>
      </c>
      <c r="AH40" s="2279"/>
      <c r="AI40" s="1458">
        <f>OFFSET(AI40,0,-2)+1</f>
        <v>14</v>
      </c>
      <c r="AJ40" s="1252">
        <f>OFFSET(AJ40,0,-1)</f>
        <v>14</v>
      </c>
      <c r="AK40" s="1458">
        <f>OFFSET(AK40,0,-1)+1</f>
        <v>15</v>
      </c>
      <c r="AL40" s="518"/>
      <c r="AM40" s="518"/>
      <c r="AN40" s="518"/>
      <c r="AO40" s="518"/>
      <c r="AP40" s="518"/>
      <c r="AQ40" s="503">
        <v>0</v>
      </c>
    </row>
    <row customHeight="1" ht="24">
      <c r="A41" s="1370" t="s">
        <v>404</v>
      </c>
      <c r="B41" s="1370"/>
      <c r="C41" s="1370"/>
      <c r="D41" s="1370"/>
      <c r="E41" s="2265">
        <v>1</v>
      </c>
      <c r="F41" s="1370"/>
      <c r="G41" s="1370"/>
      <c r="H41" s="1370"/>
      <c r="I41" s="1370"/>
      <c r="J41" s="1370"/>
      <c r="K41" s="1370"/>
      <c r="L41" s="1371"/>
      <c r="M41" s="1372"/>
      <c r="N41" s="1372"/>
      <c r="O41" s="1372"/>
      <c r="P41" s="368"/>
      <c r="Q41" s="367"/>
      <c r="R41" s="362"/>
      <c r="S41" s="1464">
        <f>INDEX(PT_DIFFERENTIATION_NUM_NTAR,MATCH(A41,PT_DIFFERENTIATION_NTAR_ID,0))</f>
        <v>0</v>
      </c>
      <c r="T41" s="305" t="s">
        <v>215</v>
      </c>
      <c r="U41" s="307"/>
      <c r="V41" s="2249"/>
      <c r="W41" s="2250"/>
      <c r="X41" s="2250"/>
      <c r="Y41" s="2250"/>
      <c r="Z41" s="2250"/>
      <c r="AA41" s="2250"/>
      <c r="AB41" s="2251"/>
      <c r="AC41" s="2249" t="str">
        <f>INDEX(PT_DIFFERENTIATION_NTAR,MATCH(A41,PT_DIFFERENTIATION_NTAR_ID,0))</f>
        <v/>
      </c>
      <c r="AD41" s="2250"/>
      <c r="AE41" s="2250"/>
      <c r="AF41" s="2250"/>
      <c r="AG41" s="2250"/>
      <c r="AH41" s="2250"/>
      <c r="AI41" s="2250"/>
      <c r="AJ41" s="2251"/>
      <c r="AK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7"/>
      <c r="AN41" s="507" t="str">
        <f>IF(T41="","",T41)</f>
        <v>Наименование тарифа</v>
      </c>
      <c r="AO41" s="507"/>
      <c r="AP41" s="507"/>
      <c r="AQ41" s="1162">
        <v>23</v>
      </c>
    </row>
    <row customHeight="1" ht="24">
      <c r="A42" s="1370" t="s">
        <v>404</v>
      </c>
      <c r="B42" s="1370" t="s">
        <v>405</v>
      </c>
      <c r="C42" s="1370"/>
      <c r="D42" s="1370"/>
      <c r="E42" s="2266"/>
      <c r="F42" s="2265">
        <v>1</v>
      </c>
      <c r="G42" s="1370"/>
      <c r="H42" s="1370"/>
      <c r="I42" s="1370"/>
      <c r="J42" s="1370"/>
      <c r="K42" s="1370"/>
      <c r="L42" s="1371"/>
      <c r="M42" s="1372"/>
      <c r="N42" s="1372"/>
      <c r="O42" s="1372"/>
      <c r="P42" s="1460"/>
      <c r="Q42" s="359"/>
      <c r="R42" s="360"/>
      <c r="S42" s="1464" t="str">
        <f>INDEX(PT_DIFFERENTIATION_NUM_TER,MATCH(B42,PT_DIFFERENTIATION_TER_ID,0))</f>
        <v>.</v>
      </c>
      <c r="T42" s="315" t="s">
        <v>560</v>
      </c>
      <c r="U42" s="307"/>
      <c r="V42" s="2249"/>
      <c r="W42" s="2250"/>
      <c r="X42" s="2250"/>
      <c r="Y42" s="2250"/>
      <c r="Z42" s="2250"/>
      <c r="AA42" s="2250"/>
      <c r="AB42" s="2251"/>
      <c r="AC42" s="2249" t="str">
        <f>INDEX(PT_DIFFERENTIATION_TER,MATCH(B42,PT_DIFFERENTIATION_TER_ID,0))</f>
        <v/>
      </c>
      <c r="AD42" s="2250"/>
      <c r="AE42" s="2250"/>
      <c r="AF42" s="2250"/>
      <c r="AG42" s="2250"/>
      <c r="AH42" s="2250"/>
      <c r="AI42" s="2250"/>
      <c r="AJ42" s="2251"/>
      <c r="AK42" s="1265" t="s">
        <v>561</v>
      </c>
      <c r="AM42" s="507"/>
      <c r="AN42" s="507" t="str">
        <f>IF(T42="","",T42)</f>
        <v>Территория действия тарифа</v>
      </c>
      <c r="AO42" s="507"/>
      <c r="AP42" s="507"/>
      <c r="AQ42" s="1162">
        <v>23</v>
      </c>
    </row>
    <row customHeight="1" ht="24">
      <c r="A43" s="1370" t="s">
        <v>404</v>
      </c>
      <c r="B43" s="1370" t="s">
        <v>405</v>
      </c>
      <c r="C43" s="1370" t="s">
        <v>406</v>
      </c>
      <c r="D43" s="1370"/>
      <c r="E43" s="2266"/>
      <c r="F43" s="2266"/>
      <c r="G43" s="2265">
        <v>1</v>
      </c>
      <c r="H43" s="1370"/>
      <c r="I43" s="1370"/>
      <c r="J43" s="1370"/>
      <c r="K43" s="1370"/>
      <c r="L43" s="1371"/>
      <c r="M43" s="1372"/>
      <c r="N43" s="1372"/>
      <c r="O43" s="1372"/>
      <c r="P43" s="361"/>
      <c r="Q43" s="359"/>
      <c r="R43" s="360"/>
      <c r="S43" s="1464" t="str">
        <f>INDEX(PT_DIFFERENTIATION_NUM_CS,MATCH(C43,PT_DIFFERENTIATION_CS_ID,0))</f>
        <v>..</v>
      </c>
      <c r="T43" s="316" t="s">
        <v>641</v>
      </c>
      <c r="U43" s="307"/>
      <c r="V43" s="2249"/>
      <c r="W43" s="2250"/>
      <c r="X43" s="2250"/>
      <c r="Y43" s="2250"/>
      <c r="Z43" s="2250"/>
      <c r="AA43" s="2250"/>
      <c r="AB43" s="2251"/>
      <c r="AC43" s="2249" t="str">
        <f>INDEX(PT_DIFFERENTIATION_CS,MATCH(C43,PT_DIFFERENTIATION_CS_ID,0))</f>
        <v/>
      </c>
      <c r="AD43" s="2250"/>
      <c r="AE43" s="2250"/>
      <c r="AF43" s="2250"/>
      <c r="AG43" s="2250"/>
      <c r="AH43" s="2250"/>
      <c r="AI43" s="2250"/>
      <c r="AJ43" s="2251"/>
      <c r="AK43" s="1265" t="s">
        <v>642</v>
      </c>
      <c r="AM43" s="507"/>
      <c r="AN43" s="507" t="str">
        <f>IF(T43="","",T43)</f>
        <v>Наименование централизованной системы холодного водоснабжения</v>
      </c>
      <c r="AO43" s="507"/>
      <c r="AP43" s="507"/>
      <c r="AQ43" s="1162">
        <v>23</v>
      </c>
    </row>
    <row customHeight="1" ht="24">
      <c r="A44" s="1370" t="s">
        <v>404</v>
      </c>
      <c r="B44" s="1370" t="s">
        <v>405</v>
      </c>
      <c r="C44" s="1370" t="s">
        <v>406</v>
      </c>
      <c r="D44" s="1370" t="s">
        <v>660</v>
      </c>
      <c r="E44" s="2266"/>
      <c r="F44" s="2266"/>
      <c r="G44" s="2266"/>
      <c r="H44" s="2266"/>
      <c r="I44" s="2263" t="str">
        <f>S43&amp;".1"</f>
        <v>...1</v>
      </c>
      <c r="J44" s="1370"/>
      <c r="K44" s="1370"/>
      <c r="L44" s="1371"/>
      <c r="P44" s="2264">
        <v>1</v>
      </c>
      <c r="Q44" s="1457"/>
      <c r="R44" s="363"/>
      <c r="S44" s="1464" t="str">
        <f>$I44</f>
        <v>...1</v>
      </c>
      <c r="T44" s="292" t="s">
        <v>643</v>
      </c>
      <c r="U44" s="307"/>
      <c r="V44" s="2357"/>
      <c r="W44" s="2358"/>
      <c r="X44" s="2358"/>
      <c r="Y44" s="2358"/>
      <c r="Z44" s="2358"/>
      <c r="AA44" s="2358"/>
      <c r="AB44" s="2359"/>
      <c r="AC44" s="2360"/>
      <c r="AD44" s="2361"/>
      <c r="AE44" s="2361"/>
      <c r="AF44" s="2361"/>
      <c r="AG44" s="2361"/>
      <c r="AH44" s="2361"/>
      <c r="AI44" s="2361"/>
      <c r="AJ44" s="2362"/>
      <c r="AK44" s="1265" t="s">
        <v>644</v>
      </c>
      <c r="AM44" s="507"/>
      <c r="AN44" s="507" t="str">
        <f>IF(T44="","",T44)</f>
        <v>Наименование признака дифференциации</v>
      </c>
      <c r="AO44" s="507"/>
      <c r="AP44" s="507"/>
      <c r="AQ44" s="1162">
        <v>23</v>
      </c>
    </row>
    <row customHeight="1" ht="24">
      <c r="A45" s="1370" t="s">
        <v>404</v>
      </c>
      <c r="B45" s="1370" t="s">
        <v>405</v>
      </c>
      <c r="C45" s="1370" t="s">
        <v>406</v>
      </c>
      <c r="D45" s="1370" t="s">
        <v>660</v>
      </c>
      <c r="E45" s="2266"/>
      <c r="F45" s="2266"/>
      <c r="G45" s="2266"/>
      <c r="H45" s="2266"/>
      <c r="I45" s="2293"/>
      <c r="J45" s="2263" t="str">
        <f>I44&amp;".1"</f>
        <v>...1.1</v>
      </c>
      <c r="K45" s="1370"/>
      <c r="L45" s="1371" t="s">
        <v>569</v>
      </c>
      <c r="P45" s="2264"/>
      <c r="Q45" s="2264">
        <v>1</v>
      </c>
      <c r="R45" s="364"/>
      <c r="S45" s="1464" t="str">
        <f>$J45</f>
        <v>...1.1</v>
      </c>
      <c r="T45" s="293" t="s">
        <v>570</v>
      </c>
      <c r="U45" s="307"/>
      <c r="V45" s="2252"/>
      <c r="W45" s="2253"/>
      <c r="X45" s="2253"/>
      <c r="Y45" s="2253"/>
      <c r="Z45" s="2253"/>
      <c r="AA45" s="2253"/>
      <c r="AB45" s="2254"/>
      <c r="AC45" s="2252"/>
      <c r="AD45" s="2253"/>
      <c r="AE45" s="2253"/>
      <c r="AF45" s="2253"/>
      <c r="AG45" s="2253"/>
      <c r="AH45" s="2253"/>
      <c r="AI45" s="2253"/>
      <c r="AJ45" s="2254"/>
      <c r="AK45" s="1314" t="s">
        <v>645</v>
      </c>
      <c r="AM45" s="507"/>
      <c r="AN45" s="507" t="str">
        <f>IF(T45="","",T45)</f>
        <v>Группа потребителей</v>
      </c>
      <c r="AO45" s="507"/>
      <c r="AP45" s="507"/>
      <c r="AQ45" s="1162">
        <v>23</v>
      </c>
    </row>
    <row customHeight="1" ht="24">
      <c r="A46" s="1370" t="s">
        <v>404</v>
      </c>
      <c r="B46" s="1370" t="s">
        <v>405</v>
      </c>
      <c r="C46" s="1370" t="s">
        <v>406</v>
      </c>
      <c r="D46" s="1370" t="s">
        <v>660</v>
      </c>
      <c r="E46" s="2266"/>
      <c r="F46" s="2266"/>
      <c r="G46" s="2266"/>
      <c r="H46" s="2266"/>
      <c r="I46" s="2293"/>
      <c r="J46" s="2293"/>
      <c r="K46" s="2263" t="str">
        <f>J45&amp;".1"</f>
        <v>...1.1.1</v>
      </c>
      <c r="L46" s="1371"/>
      <c r="P46" s="2264"/>
      <c r="Q46" s="2264"/>
      <c r="R46" s="364">
        <v>1</v>
      </c>
      <c r="S46" s="1464" t="str">
        <f>$K46</f>
        <v>...1.1.1</v>
      </c>
      <c r="T46" s="1444"/>
      <c r="U46" s="307"/>
      <c r="V46" s="758"/>
      <c r="W46" s="758"/>
      <c r="X46" s="1264"/>
      <c r="Y46" s="2272"/>
      <c r="Z46" s="2114" t="s">
        <v>66</v>
      </c>
      <c r="AA46" s="2272"/>
      <c r="AB46" s="2114" t="s">
        <v>66</v>
      </c>
      <c r="AC46" s="758"/>
      <c r="AD46" s="758"/>
      <c r="AE46" s="1264"/>
      <c r="AF46" s="2272"/>
      <c r="AG46" s="2114" t="s">
        <v>66</v>
      </c>
      <c r="AH46" s="2294"/>
      <c r="AI46" s="2114" t="s">
        <v>66</v>
      </c>
      <c r="AJ46" s="1445"/>
      <c r="AK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8">
        <f>STRCHECKDATE(V47:AJ47)</f>
      </c>
      <c r="AM46" s="507"/>
      <c r="AN46" s="507" t="str">
        <f>IF(T46="","",T46)</f>
        <v/>
      </c>
      <c r="AO46" s="507"/>
      <c r="AP46" s="507"/>
      <c r="AQ46" s="1162">
        <v>23</v>
      </c>
    </row>
    <row customHeight="1" ht="0">
      <c r="A47" s="1370" t="s">
        <v>404</v>
      </c>
      <c r="B47" s="1370" t="s">
        <v>405</v>
      </c>
      <c r="C47" s="1370" t="s">
        <v>406</v>
      </c>
      <c r="D47" s="1370" t="s">
        <v>660</v>
      </c>
      <c r="E47" s="2266"/>
      <c r="F47" s="2266"/>
      <c r="G47" s="2266"/>
      <c r="H47" s="2266"/>
      <c r="I47" s="2293"/>
      <c r="J47" s="2293"/>
      <c r="K47" s="2263"/>
      <c r="L47" s="1371"/>
      <c r="P47" s="2264"/>
      <c r="Q47" s="2264"/>
      <c r="R47" s="364"/>
      <c r="S47" s="1463"/>
      <c r="T47" s="307"/>
      <c r="U47" s="307"/>
      <c r="V47" s="332"/>
      <c r="W47" s="332"/>
      <c r="X47" s="335" t="str">
        <f>Y46&amp;"-"&amp;AA46</f>
        <v>-</v>
      </c>
      <c r="Y47" s="2273"/>
      <c r="Z47" s="2114"/>
      <c r="AA47" s="2273"/>
      <c r="AB47" s="2114"/>
      <c r="AC47" s="332"/>
      <c r="AD47" s="332"/>
      <c r="AE47" s="335" t="str">
        <f>AF46&amp;"-"&amp;AH46</f>
        <v>-</v>
      </c>
      <c r="AF47" s="2273"/>
      <c r="AG47" s="2114"/>
      <c r="AH47" s="2295"/>
      <c r="AI47" s="2114"/>
      <c r="AJ47" s="1446"/>
      <c r="AK47" s="2356"/>
      <c r="AM47" s="507"/>
      <c r="AN47" s="507" t="str">
        <f>IF(T47="","",T47)</f>
        <v/>
      </c>
      <c r="AO47" s="507"/>
      <c r="AP47" s="507"/>
      <c r="AQ47" s="1162">
        <v>0</v>
      </c>
    </row>
    <row customHeight="1" ht="21">
      <c r="A48" s="1370" t="s">
        <v>404</v>
      </c>
      <c r="B48" s="1370" t="s">
        <v>405</v>
      </c>
      <c r="C48" s="1370" t="s">
        <v>406</v>
      </c>
      <c r="D48" s="1370" t="s">
        <v>660</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374"/>
      <c r="AK48" s="1265" t="s">
        <v>647</v>
      </c>
      <c r="AM48" s="507"/>
      <c r="AN48" s="507" t="str">
        <f>IF(T48="","",T48)</f>
        <v>Добавить значение признака дифференциации</v>
      </c>
      <c r="AO48" s="507"/>
      <c r="AP48" s="507"/>
      <c r="AQ48" s="1162">
        <v>20</v>
      </c>
    </row>
    <row customHeight="1" ht="22.049999999999997">
      <c r="A49" s="1370" t="s">
        <v>404</v>
      </c>
      <c r="B49" s="1370" t="s">
        <v>405</v>
      </c>
      <c r="C49" s="1370" t="s">
        <v>406</v>
      </c>
      <c r="D49" s="1370" t="s">
        <v>660</v>
      </c>
      <c r="E49" s="2266"/>
      <c r="F49" s="2266"/>
      <c r="G49" s="2266"/>
      <c r="H49" s="2266"/>
      <c r="I49" s="2263"/>
      <c r="J49" s="1370"/>
      <c r="K49" s="1370"/>
      <c r="L49" s="1371"/>
      <c r="P49" s="2264"/>
      <c r="Q49" s="1457"/>
      <c r="R49" s="363"/>
      <c r="S49" s="1285"/>
      <c r="T49" s="372" t="s">
        <v>575</v>
      </c>
      <c r="U49" s="374"/>
      <c r="V49" s="374"/>
      <c r="W49" s="374"/>
      <c r="X49" s="374"/>
      <c r="Y49" s="374"/>
      <c r="Z49" s="374"/>
      <c r="AA49" s="374"/>
      <c r="AB49" s="373"/>
      <c r="AC49" s="374"/>
      <c r="AD49" s="374"/>
      <c r="AE49" s="374"/>
      <c r="AF49" s="374"/>
      <c r="AG49" s="374"/>
      <c r="AH49" s="374"/>
      <c r="AI49" s="373"/>
      <c r="AJ49" s="374"/>
      <c r="AK49" s="1447"/>
      <c r="AM49" s="507"/>
      <c r="AN49" s="507" t="str">
        <f>IF(T49="","",T49)</f>
        <v>Добавить группу потребителей</v>
      </c>
      <c r="AO49" s="507"/>
      <c r="AP49" s="507"/>
      <c r="AQ49" s="1162">
        <v>21</v>
      </c>
    </row>
    <row customHeight="1" ht="22.049999999999997">
      <c r="A50" s="1370" t="s">
        <v>404</v>
      </c>
      <c r="B50" s="1370" t="s">
        <v>405</v>
      </c>
      <c r="C50" s="1370" t="s">
        <v>406</v>
      </c>
      <c r="D50" s="1370" t="s">
        <v>660</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374"/>
      <c r="AK50" s="310"/>
      <c r="AM50" s="507"/>
      <c r="AN50" s="507" t="str">
        <f>IF(T50="","",T50)</f>
        <v>Добавить наименование признака дифференциации</v>
      </c>
      <c r="AO50" s="507"/>
      <c r="AP50" s="507"/>
      <c r="AQ50" s="1162">
        <v>21</v>
      </c>
    </row>
    <row s="1649" customFormat="1" customHeight="1" ht="0">
      <c r="A51" s="1350" t="s">
        <v>404</v>
      </c>
      <c r="B51" s="1350" t="s">
        <v>405</v>
      </c>
      <c r="C51" s="1321"/>
      <c r="D51" s="1321"/>
      <c r="E51" s="2266"/>
      <c r="F51" s="2265"/>
      <c r="G51" s="1321"/>
      <c r="H51" s="1321"/>
      <c r="I51" s="1321"/>
      <c r="J51" s="1321"/>
      <c r="K51" s="1321"/>
      <c r="L51" s="1465"/>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M51" s="796"/>
      <c r="AN51" s="796" t="str">
        <f>IF(T51="","",T51)</f>
        <v>Добавить централизованную систему для дифференциации</v>
      </c>
      <c r="AO51" s="796"/>
      <c r="AP51" s="796"/>
      <c r="AQ51" s="525">
        <v>0</v>
      </c>
    </row>
    <row s="1649" customFormat="1" customHeight="1" ht="0">
      <c r="A52" s="1350" t="s">
        <v>404</v>
      </c>
      <c r="B52" s="1350"/>
      <c r="C52" s="1350"/>
      <c r="D52" s="1350"/>
      <c r="E52" s="2265"/>
      <c r="F52" s="1350"/>
      <c r="G52" s="1350"/>
      <c r="H52" s="1350"/>
      <c r="I52" s="1350"/>
      <c r="J52" s="1350"/>
      <c r="K52" s="1350"/>
      <c r="L52" s="1353"/>
      <c r="M52" s="1328"/>
      <c r="N52" s="1328"/>
      <c r="O52" s="525"/>
      <c r="P52" s="387"/>
      <c r="Q52" s="1351"/>
      <c r="R52" s="387"/>
      <c r="S52" s="1329"/>
      <c r="T52" s="1332" t="s">
        <v>390</v>
      </c>
      <c r="U52" s="1331"/>
      <c r="V52" s="1331"/>
      <c r="W52" s="1331"/>
      <c r="X52" s="1331"/>
      <c r="Y52" s="1331"/>
      <c r="Z52" s="1331"/>
      <c r="AA52" s="1331"/>
      <c r="AB52" s="1331"/>
      <c r="AC52" s="1331"/>
      <c r="AD52" s="1331"/>
      <c r="AE52" s="1331"/>
      <c r="AF52" s="1331"/>
      <c r="AG52" s="1331"/>
      <c r="AH52" s="1331"/>
      <c r="AI52" s="1331"/>
      <c r="AJ52" s="1331"/>
      <c r="AK52" s="1331"/>
      <c r="AM52" s="507"/>
      <c r="AN52" s="507" t="str">
        <f>IF(T52="","",T52)</f>
        <v>Добавить территорию для дифференциации</v>
      </c>
      <c r="AO52" s="507"/>
      <c r="AP52" s="507"/>
      <c r="AQ52" s="518">
        <v>0</v>
      </c>
    </row>
    <row s="1649" customFormat="1" customHeight="1" ht="0">
      <c r="A53" s="1321"/>
      <c r="B53" s="1321"/>
      <c r="C53" s="1321"/>
      <c r="D53" s="1321"/>
      <c r="E53" s="1350"/>
      <c r="F53" s="1321"/>
      <c r="G53" s="1321"/>
      <c r="H53" s="1321"/>
      <c r="I53" s="1321"/>
      <c r="J53" s="1321"/>
      <c r="K53" s="1321"/>
      <c r="L53" s="1465"/>
      <c r="M53" s="1328"/>
      <c r="N53" s="1328"/>
      <c r="P53" s="1323"/>
      <c r="Q53" s="1324"/>
      <c r="R53" s="1323"/>
      <c r="S53" s="1329"/>
      <c r="T53" s="1332" t="s">
        <v>391</v>
      </c>
      <c r="U53" s="1331"/>
      <c r="V53" s="1331"/>
      <c r="W53" s="1331"/>
      <c r="X53" s="1331"/>
      <c r="Y53" s="1331"/>
      <c r="Z53" s="1331"/>
      <c r="AA53" s="1331"/>
      <c r="AB53" s="1331"/>
      <c r="AC53" s="1331"/>
      <c r="AD53" s="1331"/>
      <c r="AE53" s="1331"/>
      <c r="AF53" s="1331"/>
      <c r="AG53" s="1331"/>
      <c r="AH53" s="1331"/>
      <c r="AI53" s="1331"/>
      <c r="AJ53" s="1331"/>
      <c r="AK53" s="1331"/>
      <c r="AM53" s="796"/>
      <c r="AN53" s="796" t="str">
        <f>IF(T53="","",T53)</f>
        <v>Добавить наименование тарифа</v>
      </c>
      <c r="AO53" s="796"/>
      <c r="AP53" s="796"/>
      <c r="AQ53" s="525">
        <v>0</v>
      </c>
    </row>
    <row customHeight="1" ht="11.549999999999999">
      <c r="M54" s="1167"/>
      <c r="N54" s="1167"/>
      <c r="O54" s="544"/>
      <c r="P54" s="1162"/>
      <c r="Q54" s="1162"/>
      <c r="R54" s="1162"/>
      <c r="S54" s="1162"/>
      <c r="AL54" s="1162"/>
      <c r="AM54" s="1162"/>
      <c r="AN54" s="1162"/>
      <c r="AO54" s="1162"/>
      <c r="AP54" s="1162"/>
      <c r="AQ54" s="1162">
        <v>11</v>
      </c>
    </row>
    <row customHeight="1" ht="14.699999999999998">
      <c r="O55" s="544"/>
      <c r="S55" s="1260"/>
      <c r="T55" s="2292"/>
      <c r="U55" s="2292"/>
      <c r="V55" s="2292"/>
      <c r="W55" s="2292"/>
      <c r="X55" s="2292"/>
      <c r="Y55" s="2292"/>
      <c r="Z55" s="2292"/>
      <c r="AA55" s="2292"/>
      <c r="AB55" s="2292"/>
      <c r="AC55" s="2292"/>
      <c r="AD55" s="2292"/>
      <c r="AE55" s="2292"/>
      <c r="AF55" s="2292"/>
      <c r="AG55" s="2292"/>
      <c r="AH55" s="2292"/>
      <c r="AI55" s="2292"/>
      <c r="AJ55" s="2292"/>
      <c r="AK55" s="2292"/>
      <c r="AQ55" s="1162">
        <v>14</v>
      </c>
    </row>
    <row customHeight="1" ht="14.699999999999998">
      <c r="O56" s="544"/>
      <c r="AQ56" s="1162">
        <v>14</v>
      </c>
    </row>
    <row customHeight="1" ht="14.699999999999998">
      <c r="O57" s="544"/>
      <c r="S57" s="1260"/>
      <c r="T57" s="2292"/>
      <c r="U57" s="2292"/>
      <c r="V57" s="2292"/>
      <c r="W57" s="2292"/>
      <c r="X57" s="2292"/>
      <c r="Y57" s="2292"/>
      <c r="Z57" s="2292"/>
      <c r="AA57" s="2292"/>
      <c r="AB57" s="2292"/>
      <c r="AC57" s="2292"/>
      <c r="AD57" s="2292"/>
      <c r="AE57" s="2292"/>
      <c r="AF57" s="2292"/>
      <c r="AG57" s="2292"/>
      <c r="AH57" s="2292"/>
      <c r="AI57" s="2292"/>
      <c r="AJ57" s="2292"/>
      <c r="AK57" s="2292"/>
      <c r="AQ57" s="1162">
        <v>14</v>
      </c>
    </row>
    <row customHeight="1" ht="22.5" hidden="1">
      <c r="A58" s="1167" t="s">
        <v>82</v>
      </c>
      <c r="B58" s="1167">
        <v>0</v>
      </c>
      <c r="C58" s="1167">
        <v>0</v>
      </c>
      <c r="D58" s="1167">
        <v>0</v>
      </c>
      <c r="E58" s="1167">
        <v>0</v>
      </c>
      <c r="F58" s="1167">
        <v>0</v>
      </c>
      <c r="G58" s="1167">
        <v>0</v>
      </c>
      <c r="H58" s="1167">
        <v>0</v>
      </c>
      <c r="I58" s="1167">
        <v>0</v>
      </c>
      <c r="J58" s="1167">
        <v>0</v>
      </c>
      <c r="K58" s="1167">
        <v>0</v>
      </c>
      <c r="L58" s="1454">
        <v>0</v>
      </c>
      <c r="M58" s="1369">
        <v>0</v>
      </c>
      <c r="N58" s="1369">
        <v>0</v>
      </c>
      <c r="O58" s="1369">
        <v>0</v>
      </c>
      <c r="P58" s="1453">
        <v>3</v>
      </c>
      <c r="Q58" s="351">
        <v>3</v>
      </c>
      <c r="R58" s="351">
        <v>3</v>
      </c>
      <c r="S58" s="588">
        <v>12</v>
      </c>
      <c r="T58" s="1162">
        <v>35</v>
      </c>
      <c r="U58" s="1162">
        <v>0</v>
      </c>
      <c r="V58" s="1162">
        <v>0</v>
      </c>
      <c r="W58" s="1162">
        <v>0</v>
      </c>
      <c r="X58" s="1162">
        <v>0</v>
      </c>
      <c r="Y58" s="1162">
        <v>0</v>
      </c>
      <c r="Z58" s="1162">
        <v>0</v>
      </c>
      <c r="AA58" s="1162">
        <v>0</v>
      </c>
      <c r="AB58" s="1162">
        <v>0</v>
      </c>
      <c r="AC58" s="1162">
        <v>24</v>
      </c>
      <c r="AD58" s="1162">
        <v>24</v>
      </c>
      <c r="AE58" s="1162">
        <v>24</v>
      </c>
      <c r="AF58" s="1162">
        <v>11</v>
      </c>
      <c r="AG58" s="1162">
        <v>3</v>
      </c>
      <c r="AH58" s="1162">
        <v>11</v>
      </c>
      <c r="AI58" s="1162">
        <v>0</v>
      </c>
      <c r="AJ58" s="1162">
        <v>4</v>
      </c>
      <c r="AK58" s="1162">
        <v>115</v>
      </c>
      <c r="AL58" s="518">
        <v>10</v>
      </c>
      <c r="AM58" s="518">
        <v>10</v>
      </c>
      <c r="AN58" s="518">
        <v>10</v>
      </c>
      <c r="AO58" s="518">
        <v>10</v>
      </c>
      <c r="AP58" s="518">
        <v>10</v>
      </c>
      <c r="AQ58" s="116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17EFA6-C44D-FE52-A464-2CC3954803F4}"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42" width="10.140625" hidden="1" customWidth="1"/>
    <col min="4" max="4" style="1642" width="11.8515625" hidden="1" customWidth="1"/>
    <col min="5" max="11" style="1642" width="10.140625" hidden="1" customWidth="1"/>
    <col min="12" max="12" style="2132" width="10.140625" hidden="1" customWidth="1"/>
    <col min="13" max="15" style="2404" width="10.140625" hidden="1" customWidth="1"/>
    <col min="16" max="16" style="1783" width="3.00390625" customWidth="1"/>
    <col min="17" max="17" style="1378" width="3.00390625" customWidth="1"/>
    <col min="18" max="18" style="351" width="3.00390625" customWidth="1"/>
    <col min="19" max="19" style="2414" width="12.00390625" customWidth="1"/>
    <col min="20" max="20" style="1642" width="31.00390625" customWidth="1"/>
    <col min="21" max="21" style="1642" width="0.140625" customWidth="1"/>
    <col min="22" max="23" style="1642" width="21.7109375" hidden="1" customWidth="1"/>
    <col min="24" max="24" style="1642" width="11.7109375" hidden="1" customWidth="1"/>
    <col min="25" max="25" style="1642" width="3.7109375" hidden="1" customWidth="1"/>
    <col min="26" max="26" style="1642" width="11.7109375" hidden="1" customWidth="1"/>
    <col min="27" max="27" style="1642" width="8.57421875" hidden="1" customWidth="1"/>
    <col min="28" max="28" style="1642" width="27.00390625" customWidth="1"/>
    <col min="29" max="29" style="1642" width="24.57421875" customWidth="1"/>
    <col min="30" max="31" style="1642" width="21.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0.75" hidden="1">
      <c r="AQ1" s="1638" t="s">
        <v>14</v>
      </c>
    </row>
    <row customHeight="1" ht="21" hidden="1">
      <c r="A2" s="1274"/>
      <c r="B2" s="1274"/>
      <c r="C2" s="1274"/>
      <c r="D2" s="1274"/>
      <c r="E2" s="2296">
        <v>1</v>
      </c>
      <c r="F2" s="1274"/>
      <c r="G2" s="1274"/>
      <c r="H2" s="1274"/>
      <c r="I2" s="1274"/>
      <c r="J2" s="1274"/>
      <c r="K2" s="1274"/>
      <c r="L2" s="1317"/>
      <c r="M2" s="1617"/>
      <c r="N2" s="1617"/>
      <c r="O2" s="1617"/>
      <c r="P2" s="1416"/>
      <c r="Q2" s="880"/>
      <c r="R2" s="362"/>
      <c r="S2" s="1965">
        <f>INDEX(PT_DIFFERENTIATION_NUM_NTAR,MATCH(A2,PT_DIFFERENTIATION_NTAR_ID,0))</f>
      </c>
      <c r="T2" s="1532" t="s">
        <v>215</v>
      </c>
      <c r="U2" s="307"/>
      <c r="V2" s="2250"/>
      <c r="W2" s="2250"/>
      <c r="X2" s="2250"/>
      <c r="Y2" s="2250"/>
      <c r="Z2" s="2250"/>
      <c r="AA2" s="2251"/>
      <c r="AB2" s="1959"/>
      <c r="AC2" s="2250">
        <f>INDEX(PT_DIFFERENTIATION_NTAR,MATCH(A2,PT_DIFFERENTIATION_NTAR_ID,0))</f>
      </c>
      <c r="AD2" s="2250"/>
      <c r="AE2" s="2250"/>
      <c r="AF2" s="2250"/>
      <c r="AG2" s="2250"/>
      <c r="AH2" s="2250"/>
      <c r="AI2" s="2250"/>
      <c r="AJ2" s="2251"/>
      <c r="AK2" s="1265" t="s">
        <v>559</v>
      </c>
      <c r="AM2" s="1631"/>
      <c r="AN2" s="1631" t="str">
        <f>IF(T2="","",T2)</f>
        <v>Наименование тарифа</v>
      </c>
      <c r="AO2" s="1631"/>
      <c r="AP2" s="1631"/>
      <c r="AQ2" s="1638">
        <v>0</v>
      </c>
    </row>
    <row customHeight="1" ht="21" hidden="1">
      <c r="A3" s="1274"/>
      <c r="B3" s="1274"/>
      <c r="C3" s="1274"/>
      <c r="D3" s="1274"/>
      <c r="E3" s="2297"/>
      <c r="F3" s="2296">
        <v>1</v>
      </c>
      <c r="G3" s="1274"/>
      <c r="H3" s="1274"/>
      <c r="I3" s="1274"/>
      <c r="J3" s="1274"/>
      <c r="K3" s="1274"/>
      <c r="L3" s="1317"/>
      <c r="M3" s="1617"/>
      <c r="N3" s="1617"/>
      <c r="O3" s="1617"/>
      <c r="P3" s="1976"/>
      <c r="Q3" s="1418"/>
      <c r="R3" s="360"/>
      <c r="S3" s="1965">
        <f>INDEX(PT_DIFFERENTIATION_NUM_TER,MATCH(B3,PT_DIFFERENTIATION_TER_ID,0))</f>
      </c>
      <c r="T3" s="1529" t="s">
        <v>560</v>
      </c>
      <c r="U3" s="307"/>
      <c r="V3" s="2250"/>
      <c r="W3" s="2250"/>
      <c r="X3" s="2250"/>
      <c r="Y3" s="2250"/>
      <c r="Z3" s="2250"/>
      <c r="AA3" s="2251"/>
      <c r="AB3" s="1959"/>
      <c r="AC3" s="2250">
        <f>INDEX(PT_DIFFERENTIATION_TER,MATCH(B3,PT_DIFFERENTIATION_TER_ID,0))</f>
      </c>
      <c r="AD3" s="2250"/>
      <c r="AE3" s="2250"/>
      <c r="AF3" s="2250"/>
      <c r="AG3" s="2250"/>
      <c r="AH3" s="2250"/>
      <c r="AI3" s="2250"/>
      <c r="AJ3" s="2251"/>
      <c r="AK3" s="1265" t="s">
        <v>561</v>
      </c>
      <c r="AM3" s="1631"/>
      <c r="AN3" s="1631" t="str">
        <f>IF(T3="","",T3)</f>
        <v>Территория действия тарифа</v>
      </c>
      <c r="AO3" s="1631"/>
      <c r="AP3" s="1631"/>
      <c r="AQ3" s="1638">
        <v>0</v>
      </c>
    </row>
    <row customHeight="1" ht="22.5" hidden="1">
      <c r="A4" s="1274"/>
      <c r="B4" s="1274"/>
      <c r="C4" s="1274"/>
      <c r="D4" s="1274"/>
      <c r="E4" s="2297"/>
      <c r="F4" s="2297"/>
      <c r="G4" s="2296">
        <v>1</v>
      </c>
      <c r="H4" s="1274"/>
      <c r="I4" s="1274"/>
      <c r="J4" s="1274"/>
      <c r="K4" s="1274"/>
      <c r="L4" s="1317"/>
      <c r="M4" s="1617"/>
      <c r="N4" s="1617"/>
      <c r="O4" s="1617"/>
      <c r="P4" s="1419"/>
      <c r="Q4" s="1418"/>
      <c r="R4" s="360"/>
      <c r="S4" s="1965">
        <f>INDEX(PT_DIFFERENTIATION_NUM_CS,MATCH(C4,PT_DIFFERENTIATION_CS_ID,0))</f>
      </c>
      <c r="T4" s="316" t="s">
        <v>562</v>
      </c>
      <c r="U4" s="307"/>
      <c r="V4" s="2250"/>
      <c r="W4" s="2250"/>
      <c r="X4" s="2250"/>
      <c r="Y4" s="2250"/>
      <c r="Z4" s="2250"/>
      <c r="AA4" s="2251"/>
      <c r="AB4" s="1959"/>
      <c r="AC4" s="2250">
        <f>INDEX(PT_DIFFERENTIATION_CS,MATCH(C4,PT_DIFFERENTIATION_CS_ID,0))</f>
      </c>
      <c r="AD4" s="2250"/>
      <c r="AE4" s="2250"/>
      <c r="AF4" s="2250"/>
      <c r="AG4" s="2250"/>
      <c r="AH4" s="2250"/>
      <c r="AI4" s="2250"/>
      <c r="AJ4" s="2251"/>
      <c r="AK4" s="1265" t="s">
        <v>563</v>
      </c>
      <c r="AM4" s="1631"/>
      <c r="AN4" s="1631" t="str">
        <f>IF(T4="","",T4)</f>
        <v>Наименование системы теплоснабжения </v>
      </c>
      <c r="AO4" s="1631"/>
      <c r="AP4" s="1631"/>
      <c r="AQ4" s="1638">
        <v>0</v>
      </c>
    </row>
    <row customHeight="1" ht="21" hidden="1">
      <c r="A5" s="1274"/>
      <c r="B5" s="1274"/>
      <c r="C5" s="1274"/>
      <c r="D5" s="1274"/>
      <c r="E5" s="2297"/>
      <c r="F5" s="2297"/>
      <c r="G5" s="2297"/>
      <c r="H5" s="2296">
        <v>1</v>
      </c>
      <c r="I5" s="1274"/>
      <c r="J5" s="1274"/>
      <c r="K5" s="1274"/>
      <c r="L5" s="1317"/>
      <c r="M5" s="1617"/>
      <c r="N5" s="1617"/>
      <c r="O5" s="1617"/>
      <c r="P5" s="1419"/>
      <c r="Q5" s="1418"/>
      <c r="R5" s="360"/>
      <c r="S5" s="1965">
        <f>INDEX(PT_DIFFERENTIATION_NUM_IST_TE,MATCH(D5,PT_DIFFERENTIATION_IST_TE_ID,0))</f>
      </c>
      <c r="T5" s="317" t="s">
        <v>564</v>
      </c>
      <c r="U5" s="307"/>
      <c r="V5" s="2250"/>
      <c r="W5" s="2250"/>
      <c r="X5" s="2250"/>
      <c r="Y5" s="2250"/>
      <c r="Z5" s="2250"/>
      <c r="AA5" s="2251"/>
      <c r="AB5" s="1959"/>
      <c r="AC5" s="2250">
        <f>INDEX(PT_DIFFERENTIATION_IST_TE,MATCH(D5,PT_DIFFERENTIATION_IST_TE_ID,0))</f>
      </c>
      <c r="AD5" s="2250"/>
      <c r="AE5" s="2250"/>
      <c r="AF5" s="2250"/>
      <c r="AG5" s="2250"/>
      <c r="AH5" s="2250"/>
      <c r="AI5" s="2250"/>
      <c r="AJ5" s="2251"/>
      <c r="AK5" s="1265" t="s">
        <v>565</v>
      </c>
      <c r="AM5" s="1631"/>
      <c r="AN5" s="1631" t="str">
        <f>IF(T5="","",T5)</f>
        <v>Источник тепловой энергии  </v>
      </c>
      <c r="AO5" s="1631"/>
      <c r="AP5" s="1631"/>
      <c r="AQ5" s="1638">
        <v>0</v>
      </c>
    </row>
    <row s="1649" customFormat="1" customHeight="1" ht="0.75" hidden="1">
      <c r="A6" s="1382"/>
      <c r="B6" s="1382"/>
      <c r="C6" s="1382"/>
      <c r="D6" s="1382"/>
      <c r="E6" s="2297"/>
      <c r="F6" s="2297"/>
      <c r="G6" s="2297"/>
      <c r="H6" s="2297"/>
      <c r="I6" s="2134">
        <f>S5&amp;".1"</f>
      </c>
      <c r="J6" s="1382"/>
      <c r="K6" s="1382"/>
      <c r="L6" s="1388" t="s">
        <v>566</v>
      </c>
      <c r="M6" s="1253"/>
      <c r="N6" s="1253"/>
      <c r="O6" s="1253"/>
      <c r="P6" s="2264">
        <v>1</v>
      </c>
      <c r="Q6" s="1961"/>
      <c r="R6" s="363"/>
      <c r="S6" s="1049"/>
      <c r="T6" s="1390"/>
      <c r="U6" s="1391"/>
      <c r="V6" s="2304"/>
      <c r="W6" s="2304"/>
      <c r="X6" s="2304"/>
      <c r="Y6" s="2304"/>
      <c r="Z6" s="2304"/>
      <c r="AA6" s="2305"/>
      <c r="AB6" s="1967"/>
      <c r="AC6" s="2304"/>
      <c r="AD6" s="2304"/>
      <c r="AE6" s="2304"/>
      <c r="AF6" s="2304"/>
      <c r="AG6" s="2304"/>
      <c r="AH6" s="2304"/>
      <c r="AI6" s="2304"/>
      <c r="AJ6" s="2305"/>
      <c r="AK6" s="1392"/>
      <c r="AM6" s="1631"/>
      <c r="AN6" s="1631" t="str">
        <f>IF(T6="","",T6)</f>
        <v/>
      </c>
      <c r="AO6" s="1631"/>
      <c r="AP6" s="1631"/>
      <c r="AQ6" s="1643">
        <v>0</v>
      </c>
    </row>
    <row s="1649" customFormat="1" customHeight="1" ht="0.75" hidden="1">
      <c r="A7" s="1382"/>
      <c r="B7" s="1382"/>
      <c r="C7" s="1382"/>
      <c r="D7" s="1382"/>
      <c r="E7" s="2297"/>
      <c r="F7" s="2297"/>
      <c r="G7" s="2297"/>
      <c r="H7" s="2297"/>
      <c r="I7" s="2108"/>
      <c r="J7" s="2134">
        <f>S5&amp;".1"</f>
      </c>
      <c r="K7" s="1382"/>
      <c r="L7" s="1388"/>
      <c r="M7" s="1253"/>
      <c r="N7" s="1253"/>
      <c r="O7" s="1253"/>
      <c r="P7" s="2264"/>
      <c r="Q7" s="2264">
        <v>1</v>
      </c>
      <c r="R7" s="364"/>
      <c r="S7" s="1049"/>
      <c r="T7" s="1406"/>
      <c r="U7" s="1391"/>
      <c r="V7" s="2304"/>
      <c r="W7" s="2304"/>
      <c r="X7" s="2304"/>
      <c r="Y7" s="2304"/>
      <c r="Z7" s="2304"/>
      <c r="AA7" s="2305"/>
      <c r="AB7" s="1967"/>
      <c r="AC7" s="2304"/>
      <c r="AD7" s="2304"/>
      <c r="AE7" s="2304"/>
      <c r="AF7" s="2304"/>
      <c r="AG7" s="2304"/>
      <c r="AH7" s="2304"/>
      <c r="AI7" s="2304"/>
      <c r="AJ7" s="2305"/>
      <c r="AK7" s="1392"/>
      <c r="AM7" s="1631"/>
      <c r="AN7" s="1631" t="str">
        <f>IF(T7="","",T7)</f>
        <v/>
      </c>
      <c r="AO7" s="1631"/>
      <c r="AP7" s="1631"/>
      <c r="AQ7" s="1643">
        <v>0</v>
      </c>
    </row>
    <row customHeight="1" ht="21" hidden="1">
      <c r="A8" s="1274"/>
      <c r="B8" s="1274"/>
      <c r="C8" s="1274"/>
      <c r="D8" s="1274"/>
      <c r="E8" s="2297"/>
      <c r="F8" s="2297"/>
      <c r="G8" s="2297"/>
      <c r="H8" s="2297"/>
      <c r="I8" s="2108"/>
      <c r="J8" s="2108"/>
      <c r="K8" s="1998">
        <f>S5&amp;".1"</f>
      </c>
      <c r="L8" s="1317"/>
      <c r="P8" s="2264"/>
      <c r="Q8" s="2264"/>
      <c r="R8" s="2002">
        <v>1</v>
      </c>
      <c r="S8" s="2000">
        <f>$K8</f>
      </c>
      <c r="T8" s="2001"/>
      <c r="U8" s="307"/>
      <c r="V8" s="758"/>
      <c r="W8" s="1264"/>
      <c r="X8" s="1999"/>
      <c r="Y8" s="1997" t="s">
        <v>66</v>
      </c>
      <c r="Z8" s="1999"/>
      <c r="AA8" s="1997" t="s">
        <v>66</v>
      </c>
      <c r="AB8" s="2003"/>
      <c r="AC8" s="2004" t="s">
        <v>28</v>
      </c>
      <c r="AD8" s="758"/>
      <c r="AE8" s="1264"/>
      <c r="AF8" s="1962"/>
      <c r="AG8" s="1949" t="s">
        <v>66</v>
      </c>
      <c r="AH8" s="1962"/>
      <c r="AI8" s="1949" t="s">
        <v>66</v>
      </c>
      <c r="AJ8" s="1355"/>
      <c r="AK8" s="2260" t="s">
        <v>624</v>
      </c>
      <c r="AL8" s="1643">
        <f>STRCHECKDATE(#REF!)</f>
      </c>
      <c r="AM8" s="1631"/>
      <c r="AN8" s="1631" t="str">
        <f>IF(T8="","",T8)</f>
        <v/>
      </c>
      <c r="AO8" s="1631"/>
      <c r="AP8" s="1631"/>
      <c r="AQ8" s="1638">
        <v>0</v>
      </c>
    </row>
    <row customHeight="1" ht="11.25" hidden="1">
      <c r="A9" s="1274"/>
      <c r="B9" s="1274"/>
      <c r="C9" s="1274"/>
      <c r="D9" s="1274"/>
      <c r="E9" s="2297"/>
      <c r="F9" s="2297"/>
      <c r="G9" s="2297"/>
      <c r="H9" s="2297"/>
      <c r="I9" s="2108"/>
      <c r="J9" s="2134"/>
      <c r="K9" s="1274"/>
      <c r="L9" s="1317"/>
      <c r="P9" s="2264"/>
      <c r="Q9" s="2264"/>
      <c r="R9" s="363"/>
      <c r="S9" s="1285"/>
      <c r="T9" s="294" t="s">
        <v>628</v>
      </c>
      <c r="U9" s="607"/>
      <c r="V9" s="607"/>
      <c r="W9" s="607"/>
      <c r="X9" s="607"/>
      <c r="Y9" s="607"/>
      <c r="Z9" s="607"/>
      <c r="AA9" s="607"/>
      <c r="AB9" s="607"/>
      <c r="AC9" s="607"/>
      <c r="AD9" s="607"/>
      <c r="AE9" s="607"/>
      <c r="AF9" s="607"/>
      <c r="AG9" s="607"/>
      <c r="AH9" s="607"/>
      <c r="AI9" s="607"/>
      <c r="AJ9" s="331"/>
      <c r="AK9" s="2262"/>
      <c r="AM9" s="1631"/>
      <c r="AN9" s="1631" t="str">
        <f>IF(T9="","",T9)</f>
        <v>Добавить строку</v>
      </c>
      <c r="AO9" s="1631"/>
      <c r="AP9" s="1631"/>
      <c r="AQ9" s="1638">
        <v>0</v>
      </c>
    </row>
    <row s="1649" customFormat="1" customHeight="1" ht="0.75" hidden="1">
      <c r="A10" s="1382"/>
      <c r="B10" s="1382"/>
      <c r="C10" s="1382"/>
      <c r="D10" s="1382"/>
      <c r="E10" s="2297"/>
      <c r="F10" s="2297"/>
      <c r="G10" s="2297"/>
      <c r="H10" s="2297"/>
      <c r="I10" s="2134"/>
      <c r="J10" s="1382"/>
      <c r="K10" s="1382"/>
      <c r="L10" s="1388"/>
      <c r="M10" s="1253"/>
      <c r="N10" s="1253"/>
      <c r="O10" s="1253"/>
      <c r="P10" s="2264"/>
      <c r="Q10" s="1961"/>
      <c r="R10" s="363"/>
      <c r="S10" s="1393"/>
      <c r="T10" s="1394"/>
      <c r="U10" s="1395"/>
      <c r="V10" s="1395"/>
      <c r="W10" s="1395"/>
      <c r="X10" s="1395"/>
      <c r="Y10" s="1395"/>
      <c r="Z10" s="1395"/>
      <c r="AA10" s="1395"/>
      <c r="AB10" s="1395"/>
      <c r="AC10" s="1395"/>
      <c r="AD10" s="1395"/>
      <c r="AE10" s="1395"/>
      <c r="AF10" s="1395"/>
      <c r="AG10" s="1395"/>
      <c r="AH10" s="1395"/>
      <c r="AI10" s="1395"/>
      <c r="AJ10" s="1395"/>
      <c r="AK10" s="1396"/>
      <c r="AM10" s="1631"/>
      <c r="AN10" s="1631" t="str">
        <f>IF(T10="","",T10)</f>
        <v/>
      </c>
      <c r="AO10" s="1631"/>
      <c r="AP10" s="1631"/>
      <c r="AQ10" s="1643">
        <v>0</v>
      </c>
    </row>
    <row s="1649" customFormat="1" customHeight="1" ht="0.75" hidden="1">
      <c r="A11" s="1382"/>
      <c r="B11" s="1382"/>
      <c r="C11" s="1382"/>
      <c r="D11" s="1382"/>
      <c r="E11" s="2297"/>
      <c r="F11" s="2297"/>
      <c r="G11" s="2297"/>
      <c r="H11" s="2296"/>
      <c r="I11" s="1382"/>
      <c r="J11" s="1382"/>
      <c r="K11" s="1382"/>
      <c r="L11" s="1388"/>
      <c r="M11" s="1385"/>
      <c r="N11" s="1385"/>
      <c r="O11" s="358"/>
      <c r="P11" s="387"/>
      <c r="Q11" s="1351"/>
      <c r="R11" s="1408"/>
      <c r="S11" s="1393"/>
      <c r="T11" s="1394"/>
      <c r="U11" s="1395"/>
      <c r="V11" s="1395"/>
      <c r="W11" s="1395"/>
      <c r="X11" s="1395"/>
      <c r="Y11" s="1395"/>
      <c r="Z11" s="1395"/>
      <c r="AA11" s="1395"/>
      <c r="AB11" s="1395"/>
      <c r="AC11" s="1395"/>
      <c r="AD11" s="1395"/>
      <c r="AE11" s="1395"/>
      <c r="AF11" s="1395"/>
      <c r="AG11" s="1395"/>
      <c r="AH11" s="1395"/>
      <c r="AI11" s="1395"/>
      <c r="AJ11" s="1395"/>
      <c r="AK11" s="1396"/>
      <c r="AM11" s="1631"/>
      <c r="AN11" s="1631" t="str">
        <f>IF(T11="","",T11)</f>
        <v/>
      </c>
      <c r="AO11" s="1631"/>
      <c r="AP11" s="1631"/>
      <c r="AQ11" s="1643">
        <v>0</v>
      </c>
    </row>
    <row s="1649" customFormat="1" customHeight="1" ht="0.75" hidden="1">
      <c r="A12" s="1382"/>
      <c r="B12" s="1382"/>
      <c r="C12" s="1382"/>
      <c r="D12" s="1381"/>
      <c r="E12" s="2297"/>
      <c r="F12" s="2297"/>
      <c r="G12" s="2296"/>
      <c r="H12" s="1381"/>
      <c r="I12" s="1381"/>
      <c r="J12" s="1381"/>
      <c r="K12" s="1381"/>
      <c r="L12" s="1384"/>
      <c r="M12" s="1385"/>
      <c r="N12" s="1385"/>
      <c r="O12" s="358"/>
      <c r="P12" s="1323"/>
      <c r="Q12" s="1324"/>
      <c r="R12" s="1323"/>
      <c r="S12" s="1329"/>
      <c r="T12" s="1332" t="s">
        <v>577</v>
      </c>
      <c r="U12" s="1331"/>
      <c r="V12" s="1331"/>
      <c r="W12" s="1331"/>
      <c r="X12" s="1331"/>
      <c r="Y12" s="1331"/>
      <c r="Z12" s="1331"/>
      <c r="AA12" s="1331"/>
      <c r="AB12" s="1331"/>
      <c r="AC12" s="1331"/>
      <c r="AD12" s="1331"/>
      <c r="AE12" s="1331"/>
      <c r="AF12" s="1331"/>
      <c r="AG12" s="1331"/>
      <c r="AH12" s="1331"/>
      <c r="AI12" s="1331"/>
      <c r="AJ12" s="1331"/>
      <c r="AK12" s="1331"/>
      <c r="AM12" s="1258"/>
      <c r="AN12" s="1258" t="str">
        <f>IF(T12="","",T12)</f>
        <v>Добавить источник для дифференциации</v>
      </c>
      <c r="AO12" s="1258"/>
      <c r="AP12" s="1258"/>
      <c r="AQ12" s="1649">
        <v>0</v>
      </c>
    </row>
    <row s="1649" customFormat="1" customHeight="1" ht="0.75" hidden="1">
      <c r="A13" s="1382"/>
      <c r="B13" s="1382"/>
      <c r="C13" s="1381"/>
      <c r="D13" s="1381"/>
      <c r="E13" s="2297"/>
      <c r="F13" s="2296"/>
      <c r="G13" s="1381"/>
      <c r="H13" s="1381"/>
      <c r="I13" s="1381"/>
      <c r="J13" s="1381"/>
      <c r="K13" s="1381"/>
      <c r="L13" s="1384"/>
      <c r="M13" s="1386"/>
      <c r="N13" s="1386"/>
      <c r="O13" s="358"/>
      <c r="P13" s="1323"/>
      <c r="Q13" s="1324"/>
      <c r="R13" s="1323"/>
      <c r="S13" s="1329"/>
      <c r="T13" s="1332" t="s">
        <v>316</v>
      </c>
      <c r="U13" s="1331"/>
      <c r="V13" s="1331"/>
      <c r="W13" s="1331"/>
      <c r="X13" s="1331"/>
      <c r="Y13" s="1331"/>
      <c r="Z13" s="1331"/>
      <c r="AA13" s="1331"/>
      <c r="AB13" s="1331"/>
      <c r="AC13" s="1331"/>
      <c r="AD13" s="1331"/>
      <c r="AE13" s="1331"/>
      <c r="AF13" s="1331"/>
      <c r="AG13" s="1331"/>
      <c r="AH13" s="1331"/>
      <c r="AI13" s="1331"/>
      <c r="AJ13" s="1331"/>
      <c r="AK13" s="1331"/>
      <c r="AM13" s="1258"/>
      <c r="AN13" s="1258" t="str">
        <f>IF(T13="","",T13)</f>
        <v>Добавить централизованную систему для дифференциации</v>
      </c>
      <c r="AO13" s="1258"/>
      <c r="AP13" s="1258"/>
      <c r="AQ13" s="1649">
        <v>0</v>
      </c>
    </row>
    <row s="1649" customFormat="1" customHeight="1" ht="0.75" hidden="1">
      <c r="A14" s="1382"/>
      <c r="B14" s="1382"/>
      <c r="C14" s="1382"/>
      <c r="D14" s="1382"/>
      <c r="E14" s="2296"/>
      <c r="F14" s="1382"/>
      <c r="G14" s="1382"/>
      <c r="H14" s="1382"/>
      <c r="I14" s="1382"/>
      <c r="J14" s="1382"/>
      <c r="K14" s="1382"/>
      <c r="L14" s="1388"/>
      <c r="M14" s="1386"/>
      <c r="N14" s="1386"/>
      <c r="O14" s="358"/>
      <c r="P14" s="387"/>
      <c r="Q14" s="1351"/>
      <c r="R14" s="387"/>
      <c r="S14" s="1329"/>
      <c r="T14" s="1332" t="s">
        <v>390</v>
      </c>
      <c r="U14" s="1331"/>
      <c r="V14" s="1331"/>
      <c r="W14" s="1331"/>
      <c r="X14" s="1331"/>
      <c r="Y14" s="1331"/>
      <c r="Z14" s="1331"/>
      <c r="AA14" s="1331"/>
      <c r="AB14" s="1331"/>
      <c r="AC14" s="1331"/>
      <c r="AD14" s="1331"/>
      <c r="AE14" s="1331"/>
      <c r="AF14" s="1331"/>
      <c r="AG14" s="1331"/>
      <c r="AH14" s="1331"/>
      <c r="AI14" s="1331"/>
      <c r="AJ14" s="1331"/>
      <c r="AK14" s="1331"/>
      <c r="AM14" s="1631"/>
      <c r="AN14" s="1631" t="str">
        <f>IF(T14="","",T14)</f>
        <v>Добавить территорию для дифференциации</v>
      </c>
      <c r="AO14" s="1631"/>
      <c r="AP14" s="1631"/>
      <c r="AQ14" s="1643">
        <v>0</v>
      </c>
    </row>
    <row customHeight="1" ht="14.25" hidden="1">
      <c r="AQ15" s="1638">
        <v>0</v>
      </c>
    </row>
    <row customHeight="1" ht="14.25" hidden="1">
      <c r="AC16" s="1509"/>
      <c r="AD16" s="1410"/>
      <c r="AE16" s="1411"/>
      <c r="AF16" s="1743"/>
      <c r="AG16" s="1973" t="s">
        <v>66</v>
      </c>
      <c r="AH16" s="1743"/>
      <c r="AI16" s="1973" t="s">
        <v>66</v>
      </c>
      <c r="AQ16" s="1638">
        <v>0</v>
      </c>
    </row>
    <row customHeight="1" ht="14.25" hidden="1">
      <c r="AL17" s="1648"/>
      <c r="AM17" s="1648"/>
      <c r="AN17" s="1648"/>
      <c r="AO17" s="1648"/>
      <c r="AP17" s="1648"/>
      <c r="AQ17" s="1638">
        <v>0</v>
      </c>
    </row>
    <row customHeight="1" ht="14.25" hidden="1">
      <c r="O18" s="1352" t="s">
        <v>578</v>
      </c>
      <c r="X18" s="1352"/>
      <c r="Z18" s="1352"/>
      <c r="AF18" s="1352"/>
      <c r="AH18" s="1352"/>
      <c r="AL18" s="1648"/>
      <c r="AM18" s="1648"/>
      <c r="AN18" s="1648"/>
      <c r="AO18" s="1648"/>
      <c r="AP18" s="1648"/>
      <c r="AQ18" s="1638">
        <v>0</v>
      </c>
    </row>
    <row customHeight="1" ht="14.25" hidden="1">
      <c r="AL19" s="1648"/>
      <c r="AM19" s="1648"/>
      <c r="AN19" s="1648"/>
      <c r="AO19" s="1648"/>
      <c r="AP19" s="1648"/>
      <c r="AQ19" s="1638">
        <v>0</v>
      </c>
    </row>
    <row s="1516" customFormat="1" customHeight="1" ht="14.25" hidden="1">
      <c r="A20" s="1978"/>
      <c r="B20" s="1978"/>
      <c r="C20" s="1978"/>
      <c r="D20" s="1978"/>
      <c r="E20" s="1978"/>
      <c r="F20" s="1978"/>
      <c r="G20" s="1978"/>
      <c r="H20" s="1978"/>
      <c r="I20" s="1978"/>
      <c r="J20" s="1978"/>
      <c r="K20" s="1978"/>
      <c r="L20" s="1978"/>
      <c r="M20" s="1979"/>
      <c r="N20" s="1979"/>
      <c r="O20" s="1980" t="s">
        <v>579</v>
      </c>
      <c r="P20" s="1515"/>
      <c r="Q20" s="1517"/>
      <c r="R20" s="1517"/>
      <c r="Y20" s="1514" t="s">
        <v>581</v>
      </c>
      <c r="AA20" s="1514" t="s">
        <v>582</v>
      </c>
      <c r="AC20" s="1514" t="s">
        <v>630</v>
      </c>
      <c r="AG20" s="1514" t="s">
        <v>581</v>
      </c>
      <c r="AI20" s="1514" t="s">
        <v>582</v>
      </c>
      <c r="AL20" s="1518"/>
      <c r="AM20" s="1518"/>
      <c r="AN20" s="1518"/>
      <c r="AO20" s="1518"/>
      <c r="AP20" s="1518"/>
      <c r="AQ20" s="1514">
        <v>0</v>
      </c>
    </row>
    <row customHeight="1" ht="14.25" hidden="1">
      <c r="O21" s="1317"/>
      <c r="AL21" s="1648"/>
      <c r="AM21" s="1648"/>
      <c r="AN21" s="1648"/>
      <c r="AO21" s="1648"/>
      <c r="AP21" s="1648"/>
      <c r="AQ21" s="1638">
        <v>0</v>
      </c>
    </row>
    <row customHeight="1" ht="14.25" hidden="1">
      <c r="O22" s="1317"/>
      <c r="AL22" s="1648"/>
      <c r="AM22" s="1648"/>
      <c r="AN22" s="1648"/>
      <c r="AO22" s="1648"/>
      <c r="AP22" s="1648"/>
      <c r="AQ22" s="1638">
        <v>0</v>
      </c>
    </row>
    <row customHeight="1" ht="14.699999999999998">
      <c r="Q23" s="298"/>
      <c r="R23" s="383"/>
      <c r="S23" s="1282"/>
      <c r="T23" s="464"/>
      <c r="U23" s="464"/>
      <c r="V23" s="1642"/>
      <c r="W23" s="1642"/>
      <c r="X23" s="1642"/>
      <c r="Y23" s="1642"/>
      <c r="Z23" s="1642"/>
      <c r="AA23" s="1642"/>
      <c r="AB23" s="1642"/>
      <c r="AC23" s="1642"/>
      <c r="AD23" s="1642"/>
      <c r="AE23" s="1642"/>
      <c r="AF23" s="1642"/>
      <c r="AG23" s="1642"/>
      <c r="AH23" s="1642"/>
      <c r="AI23" s="1642"/>
      <c r="AQ23" s="1638">
        <v>14</v>
      </c>
    </row>
    <row customHeight="1" ht="39.75">
      <c r="Q24" s="298"/>
      <c r="R24" s="383"/>
      <c r="S24" s="2255"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5"/>
      <c r="U24" s="2255"/>
      <c r="V24" s="2255"/>
      <c r="W24" s="2255"/>
      <c r="X24" s="2255"/>
      <c r="Y24" s="2255"/>
      <c r="Z24" s="2255"/>
      <c r="AA24" s="2255"/>
      <c r="AB24" s="2255"/>
      <c r="AC24" s="2255"/>
      <c r="AD24" s="2255"/>
      <c r="AE24" s="2255"/>
      <c r="AF24" s="2255"/>
      <c r="AG24" s="2255"/>
      <c r="AH24" s="2255"/>
      <c r="AI24" s="1250"/>
      <c r="AQ24" s="1638">
        <v>38</v>
      </c>
    </row>
    <row customHeight="1" ht="14.699999999999998">
      <c r="Q25" s="298"/>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638">
        <v>14</v>
      </c>
    </row>
    <row customHeight="1" ht="14.25" hidden="1">
      <c r="Q26" s="298"/>
      <c r="R26" s="383"/>
      <c r="S26" s="1282"/>
      <c r="T26" s="464"/>
      <c r="U26" s="464"/>
      <c r="V26" s="329"/>
      <c r="W26" s="329"/>
      <c r="X26" s="329"/>
      <c r="Y26" s="329"/>
      <c r="Z26" s="329"/>
      <c r="AA26" s="329"/>
      <c r="AB26" s="329"/>
      <c r="AC26" s="329"/>
      <c r="AD26" s="329"/>
      <c r="AE26" s="329"/>
      <c r="AF26" s="329"/>
      <c r="AG26" s="329"/>
      <c r="AH26" s="329"/>
      <c r="AI26" s="329"/>
      <c r="AJ26" s="1642"/>
      <c r="AQ26" s="1638">
        <v>0</v>
      </c>
    </row>
    <row s="1860" customFormat="1" customHeight="1" ht="25.5" hidden="1">
      <c r="A27" s="1255"/>
      <c r="B27" s="1255"/>
      <c r="C27" s="1255"/>
      <c r="D27" s="1255"/>
      <c r="E27" s="1255"/>
      <c r="F27" s="1255"/>
      <c r="G27" s="1255"/>
      <c r="H27" s="1255"/>
      <c r="I27" s="1255"/>
      <c r="J27" s="1255"/>
      <c r="K27" s="1255"/>
      <c r="L27" s="1387"/>
      <c r="M27" s="1255"/>
      <c r="N27" s="1255"/>
      <c r="O27" s="1255"/>
      <c r="P27" s="1375"/>
      <c r="Q27" s="1375"/>
      <c r="S27" s="2257" t="s">
        <v>42</v>
      </c>
      <c r="T27" s="2257"/>
      <c r="U27" s="1379"/>
      <c r="V27" s="2258" t="str">
        <f>IF(TITLE_NAME_OR_PR_CHANGE="",IF(TITLE_NAME_OR_PR="","",TITLE_NAME_OR_PR),TITLE_NAME_OR_PR_CHANGE)</f>
        <v/>
      </c>
      <c r="W27" s="2258"/>
      <c r="X27" s="2258"/>
      <c r="Y27" s="2258"/>
      <c r="Z27" s="2258"/>
      <c r="AA27" s="1642"/>
      <c r="AB27" s="1642"/>
      <c r="AC27" s="2258"/>
      <c r="AD27" s="2258"/>
      <c r="AE27" s="2258"/>
      <c r="AF27" s="2258"/>
      <c r="AG27" s="2258"/>
      <c r="AH27" s="2258"/>
      <c r="AI27" s="1642"/>
      <c r="AJ27" s="1642"/>
      <c r="AK27" s="287"/>
      <c r="AL27" s="375"/>
      <c r="AM27" s="375"/>
      <c r="AN27" s="375"/>
      <c r="AO27" s="375"/>
      <c r="AP27" s="375"/>
      <c r="AQ27" s="425">
        <v>0</v>
      </c>
    </row>
    <row s="1860" customFormat="1" customHeight="1" ht="18.75" hidden="1">
      <c r="A28" s="1255"/>
      <c r="B28" s="1255"/>
      <c r="C28" s="1255"/>
      <c r="D28" s="1255"/>
      <c r="E28" s="1255"/>
      <c r="F28" s="1255"/>
      <c r="G28" s="1255"/>
      <c r="H28" s="1255"/>
      <c r="I28" s="1255"/>
      <c r="J28" s="1255"/>
      <c r="K28" s="1255"/>
      <c r="L28" s="1387"/>
      <c r="M28" s="1255"/>
      <c r="N28" s="1255"/>
      <c r="O28" s="1255"/>
      <c r="P28" s="1375"/>
      <c r="Q28" s="1375"/>
      <c r="S28" s="2257" t="s">
        <v>584</v>
      </c>
      <c r="T28" s="2257"/>
      <c r="U28" s="1379"/>
      <c r="V28" s="2271" t="str">
        <f>IF(TITLE_DATE_PR_CHANGE="",IF(TITLE_DATE_PR="","",TITLE_DATE_PR),TITLE_DATE_PR_CHANGE)</f>
        <v>45432</v>
      </c>
      <c r="W28" s="2271"/>
      <c r="X28" s="2271"/>
      <c r="Y28" s="2271"/>
      <c r="Z28" s="2271"/>
      <c r="AA28" s="1642"/>
      <c r="AB28" s="1642"/>
      <c r="AC28" s="2271"/>
      <c r="AD28" s="2271"/>
      <c r="AE28" s="2271"/>
      <c r="AF28" s="2271"/>
      <c r="AG28" s="2271"/>
      <c r="AH28" s="2271"/>
      <c r="AI28" s="1642"/>
      <c r="AJ28" s="1642"/>
      <c r="AK28" s="287"/>
      <c r="AL28" s="375"/>
      <c r="AM28" s="375"/>
      <c r="AN28" s="375"/>
      <c r="AO28" s="375"/>
      <c r="AP28" s="375"/>
      <c r="AQ28" s="425">
        <v>0</v>
      </c>
    </row>
    <row s="1860" customFormat="1" customHeight="1" ht="18.75" hidden="1">
      <c r="A29" s="1255"/>
      <c r="B29" s="1255"/>
      <c r="C29" s="1255"/>
      <c r="D29" s="1255"/>
      <c r="E29" s="1255"/>
      <c r="F29" s="1255"/>
      <c r="G29" s="1255"/>
      <c r="H29" s="1255"/>
      <c r="I29" s="1255"/>
      <c r="J29" s="1255"/>
      <c r="K29" s="1255"/>
      <c r="L29" s="1387"/>
      <c r="M29" s="1255"/>
      <c r="N29" s="1255"/>
      <c r="O29" s="1255"/>
      <c r="P29" s="1375"/>
      <c r="Q29" s="1375"/>
      <c r="S29" s="2257" t="s">
        <v>585</v>
      </c>
      <c r="T29" s="2257"/>
      <c r="U29" s="1379"/>
      <c r="V29" s="2258" t="str">
        <f>IF(TITLE_NUMBER_PR_CHANGE="",IF(TITLE_NUMBER_PR="","",TITLE_NUMBER_PR),TITLE_NUMBER_PR_CHANGE)</f>
        <v>29-12/1427</v>
      </c>
      <c r="W29" s="2258"/>
      <c r="X29" s="2258"/>
      <c r="Y29" s="2258"/>
      <c r="Z29" s="2258"/>
      <c r="AA29" s="1642"/>
      <c r="AB29" s="1642"/>
      <c r="AC29" s="2258"/>
      <c r="AD29" s="2258"/>
      <c r="AE29" s="2258"/>
      <c r="AF29" s="2258"/>
      <c r="AG29" s="2258"/>
      <c r="AH29" s="2258"/>
      <c r="AI29" s="1642"/>
      <c r="AJ29" s="1642"/>
      <c r="AK29" s="287"/>
      <c r="AL29" s="375"/>
      <c r="AM29" s="375"/>
      <c r="AN29" s="375"/>
      <c r="AO29" s="375"/>
      <c r="AP29" s="375"/>
      <c r="AQ29" s="425">
        <v>0</v>
      </c>
    </row>
    <row s="1860" customFormat="1" customHeight="1" ht="18.75" hidden="1">
      <c r="A30" s="1255"/>
      <c r="B30" s="1255"/>
      <c r="C30" s="1255"/>
      <c r="D30" s="1255"/>
      <c r="E30" s="1255"/>
      <c r="F30" s="1255"/>
      <c r="G30" s="1255"/>
      <c r="H30" s="1255"/>
      <c r="I30" s="1255"/>
      <c r="J30" s="1255"/>
      <c r="K30" s="1255"/>
      <c r="L30" s="1387"/>
      <c r="M30" s="1255"/>
      <c r="N30" s="1255"/>
      <c r="O30" s="1255"/>
      <c r="P30" s="1375"/>
      <c r="Q30" s="1375"/>
      <c r="S30" s="2257" t="s">
        <v>43</v>
      </c>
      <c r="T30" s="2257"/>
      <c r="U30" s="1379"/>
      <c r="V30" s="2258" t="str">
        <f>IF(TITLE_IST_PUB_CHANGE="",IF(TITLE_IST_PUB="","",TITLE_IST_PUB),TITLE_IST_PUB_CHANGE)</f>
        <v/>
      </c>
      <c r="W30" s="2258"/>
      <c r="X30" s="2258"/>
      <c r="Y30" s="2258"/>
      <c r="Z30" s="2258"/>
      <c r="AA30" s="1642"/>
      <c r="AB30" s="1642"/>
      <c r="AC30" s="2258"/>
      <c r="AD30" s="2258"/>
      <c r="AE30" s="2258"/>
      <c r="AF30" s="2258"/>
      <c r="AG30" s="2258"/>
      <c r="AH30" s="2258"/>
      <c r="AI30" s="1642"/>
      <c r="AJ30" s="1642"/>
      <c r="AK30" s="287"/>
      <c r="AL30" s="375"/>
      <c r="AM30" s="375"/>
      <c r="AN30" s="375"/>
      <c r="AO30" s="375"/>
      <c r="AP30" s="375"/>
      <c r="AQ30" s="425">
        <v>0</v>
      </c>
    </row>
    <row customHeight="1" ht="14.25" hidden="1">
      <c r="Q31" s="298"/>
      <c r="R31" s="383"/>
      <c r="S31" s="1282"/>
      <c r="T31" s="464"/>
      <c r="U31" s="464"/>
      <c r="V31" s="329"/>
      <c r="W31" s="329"/>
      <c r="X31" s="329"/>
      <c r="Y31" s="329"/>
      <c r="Z31" s="329"/>
      <c r="AA31" s="329"/>
      <c r="AB31" s="329"/>
      <c r="AC31" s="329"/>
      <c r="AD31" s="329"/>
      <c r="AE31" s="329"/>
      <c r="AF31" s="329"/>
      <c r="AG31" s="329"/>
      <c r="AH31" s="329"/>
      <c r="AI31" s="329"/>
      <c r="AJ31" s="1642"/>
      <c r="AQ31" s="1638">
        <v>0</v>
      </c>
    </row>
    <row s="1860" customFormat="1" customHeight="1" ht="18.75" hidden="1">
      <c r="A32" s="1255"/>
      <c r="B32" s="1255"/>
      <c r="C32" s="1255"/>
      <c r="D32" s="1255"/>
      <c r="E32" s="1255"/>
      <c r="F32" s="1255"/>
      <c r="G32" s="1255"/>
      <c r="H32" s="1255"/>
      <c r="I32" s="1255"/>
      <c r="J32" s="1255"/>
      <c r="K32" s="1255"/>
      <c r="L32" s="1387"/>
      <c r="M32" s="1255"/>
      <c r="N32" s="1255"/>
      <c r="O32" s="1255"/>
      <c r="P32" s="1375"/>
      <c r="Q32" s="1375"/>
      <c r="S32" s="2257" t="s">
        <v>584</v>
      </c>
      <c r="T32" s="2257"/>
      <c r="U32" s="1379"/>
      <c r="V32" s="2271" t="str">
        <f>IF(TITLE_DATE_PR_CHANGE="",IF(TITLE_DATE_PR="","",TITLE_DATE_PR),TITLE_DATE_PR_CHANGE)</f>
        <v>45432</v>
      </c>
      <c r="W32" s="2271"/>
      <c r="X32" s="2271"/>
      <c r="Y32" s="2271"/>
      <c r="Z32" s="2271"/>
      <c r="AA32" s="1642"/>
      <c r="AB32" s="1642"/>
      <c r="AC32" s="2271"/>
      <c r="AD32" s="2271"/>
      <c r="AE32" s="2271"/>
      <c r="AF32" s="2271"/>
      <c r="AG32" s="2271"/>
      <c r="AH32" s="2271"/>
      <c r="AI32" s="1642"/>
      <c r="AJ32" s="1642"/>
      <c r="AK32" s="287"/>
      <c r="AL32" s="375"/>
      <c r="AM32" s="375"/>
      <c r="AN32" s="375"/>
      <c r="AO32" s="375"/>
      <c r="AP32" s="375"/>
      <c r="AQ32" s="425">
        <v>0</v>
      </c>
    </row>
    <row s="1860" customFormat="1" customHeight="1" ht="18" hidden="1">
      <c r="A33" s="1255"/>
      <c r="B33" s="1255"/>
      <c r="C33" s="1255"/>
      <c r="D33" s="1255"/>
      <c r="E33" s="1255"/>
      <c r="F33" s="1255"/>
      <c r="G33" s="1255"/>
      <c r="H33" s="1255"/>
      <c r="I33" s="1255"/>
      <c r="J33" s="1255"/>
      <c r="K33" s="1255"/>
      <c r="L33" s="1387"/>
      <c r="M33" s="1255"/>
      <c r="N33" s="1255"/>
      <c r="O33" s="1255"/>
      <c r="P33" s="1375"/>
      <c r="Q33" s="1375"/>
      <c r="S33" s="2257" t="s">
        <v>585</v>
      </c>
      <c r="T33" s="2257"/>
      <c r="U33" s="1379"/>
      <c r="V33" s="2258" t="str">
        <f>IF(TITLE_NUMBER_PR_CHANGE="",IF(TITLE_NUMBER_PR="","",TITLE_NUMBER_PR),TITLE_NUMBER_PR_CHANGE)</f>
        <v>29-12/1427</v>
      </c>
      <c r="W33" s="2258"/>
      <c r="X33" s="2258"/>
      <c r="Y33" s="2258"/>
      <c r="Z33" s="2258"/>
      <c r="AA33" s="1642"/>
      <c r="AB33" s="1642"/>
      <c r="AC33" s="2258"/>
      <c r="AD33" s="2258"/>
      <c r="AE33" s="2258"/>
      <c r="AF33" s="2258"/>
      <c r="AG33" s="2258"/>
      <c r="AH33" s="2258"/>
      <c r="AI33" s="1642"/>
      <c r="AJ33" s="1642"/>
      <c r="AK33" s="287"/>
      <c r="AL33" s="375"/>
      <c r="AM33" s="375"/>
      <c r="AN33" s="375"/>
      <c r="AO33" s="375"/>
      <c r="AP33" s="375"/>
      <c r="AQ33" s="425">
        <v>0</v>
      </c>
    </row>
    <row s="1860" customFormat="1" customHeight="1" ht="1.05">
      <c r="A34" s="1255"/>
      <c r="B34" s="1255"/>
      <c r="C34" s="1255"/>
      <c r="D34" s="1255"/>
      <c r="E34" s="1255"/>
      <c r="F34" s="1255"/>
      <c r="G34" s="1255"/>
      <c r="H34" s="1255"/>
      <c r="I34" s="1255"/>
      <c r="J34" s="1255"/>
      <c r="K34" s="1255"/>
      <c r="L34" s="1387"/>
      <c r="M34" s="1255"/>
      <c r="N34" s="1255"/>
      <c r="O34" s="1255"/>
      <c r="P34" s="1375"/>
      <c r="Q34" s="1375"/>
      <c r="S34" s="1642"/>
      <c r="T34" s="1642"/>
      <c r="U34" s="1977"/>
      <c r="V34" s="1642"/>
      <c r="W34" s="1642"/>
      <c r="X34" s="1642"/>
      <c r="Y34" s="1642"/>
      <c r="Z34" s="1642"/>
      <c r="AA34" s="1649" t="s">
        <v>588</v>
      </c>
      <c r="AB34" s="1649"/>
      <c r="AC34" s="1642"/>
      <c r="AD34" s="1642"/>
      <c r="AE34" s="1642"/>
      <c r="AF34" s="1642"/>
      <c r="AG34" s="1642"/>
      <c r="AH34" s="1642"/>
      <c r="AI34" s="1649" t="s">
        <v>588</v>
      </c>
      <c r="AL34" s="375"/>
      <c r="AM34" s="375"/>
      <c r="AN34" s="375"/>
      <c r="AO34" s="375"/>
      <c r="AP34" s="375"/>
      <c r="AQ34" s="425">
        <v>1</v>
      </c>
    </row>
    <row customHeight="1" ht="14.699999999999998">
      <c r="Q35" s="298"/>
      <c r="R35" s="383"/>
      <c r="S35" s="1282"/>
      <c r="T35" s="464"/>
      <c r="U35" s="1251"/>
      <c r="V35" s="2259"/>
      <c r="W35" s="2259"/>
      <c r="X35" s="2259"/>
      <c r="Y35" s="2259"/>
      <c r="Z35" s="2259"/>
      <c r="AA35" s="2259"/>
      <c r="AB35" s="1964"/>
      <c r="AC35" s="2259"/>
      <c r="AD35" s="2259"/>
      <c r="AE35" s="2259"/>
      <c r="AF35" s="2259"/>
      <c r="AG35" s="2259"/>
      <c r="AH35" s="2259"/>
      <c r="AI35" s="2259"/>
      <c r="AQ35" s="1638">
        <v>14</v>
      </c>
    </row>
    <row customHeight="1" ht="14.699999999999998">
      <c r="Q36" s="298"/>
      <c r="R36" s="383"/>
      <c r="S36" s="2134" t="s">
        <v>463</v>
      </c>
      <c r="T36" s="2134"/>
      <c r="U36" s="2134"/>
      <c r="V36" s="2134"/>
      <c r="W36" s="2134"/>
      <c r="X36" s="2134"/>
      <c r="Y36" s="2134"/>
      <c r="Z36" s="2134"/>
      <c r="AA36" s="2182"/>
      <c r="AB36" s="2182"/>
      <c r="AC36" s="2182"/>
      <c r="AD36" s="2134"/>
      <c r="AE36" s="2134"/>
      <c r="AF36" s="2134"/>
      <c r="AG36" s="2134"/>
      <c r="AH36" s="2134"/>
      <c r="AI36" s="2134"/>
      <c r="AJ36" s="2134"/>
      <c r="AK36" s="2134" t="s">
        <v>464</v>
      </c>
      <c r="AQ36" s="1638">
        <v>14</v>
      </c>
    </row>
    <row customHeight="1" ht="14.699999999999998">
      <c r="Q37" s="298"/>
      <c r="R37" s="383"/>
      <c r="S37" s="2280" t="s">
        <v>88</v>
      </c>
      <c r="T37" s="2216" t="s">
        <v>661</v>
      </c>
      <c r="U37" s="344"/>
      <c r="V37" s="2282"/>
      <c r="W37" s="2282"/>
      <c r="X37" s="2282"/>
      <c r="Y37" s="2282"/>
      <c r="Z37" s="2282"/>
      <c r="AA37" s="2216" t="s">
        <v>591</v>
      </c>
      <c r="AB37" s="2215" t="s">
        <v>662</v>
      </c>
      <c r="AC37" s="2215" t="s">
        <v>634</v>
      </c>
      <c r="AD37" s="2298" t="s">
        <v>590</v>
      </c>
      <c r="AE37" s="2298"/>
      <c r="AF37" s="2282"/>
      <c r="AG37" s="2282"/>
      <c r="AH37" s="2283"/>
      <c r="AI37" s="2284" t="s">
        <v>591</v>
      </c>
      <c r="AJ37" s="2287" t="s">
        <v>593</v>
      </c>
      <c r="AK37" s="2134"/>
      <c r="AQ37" s="1638">
        <v>14</v>
      </c>
    </row>
    <row customHeight="1" ht="35.699999999999996">
      <c r="Q38" s="298"/>
      <c r="R38" s="383"/>
      <c r="S38" s="2280"/>
      <c r="T38" s="2216"/>
      <c r="U38" s="1038"/>
      <c r="V38" s="2110" t="s">
        <v>637</v>
      </c>
      <c r="W38" s="2134"/>
      <c r="X38" s="2301" t="s">
        <v>597</v>
      </c>
      <c r="Y38" s="2320"/>
      <c r="Z38" s="2320"/>
      <c r="AA38" s="2216"/>
      <c r="AB38" s="2215"/>
      <c r="AC38" s="2215"/>
      <c r="AD38" s="2110" t="s">
        <v>637</v>
      </c>
      <c r="AE38" s="2134"/>
      <c r="AF38" s="2320" t="s">
        <v>597</v>
      </c>
      <c r="AG38" s="2320"/>
      <c r="AH38" s="2321"/>
      <c r="AI38" s="2285"/>
      <c r="AJ38" s="2288"/>
      <c r="AK38" s="2134"/>
      <c r="AQ38" s="1638">
        <v>34</v>
      </c>
    </row>
    <row customHeight="1" ht="14.699999999999998">
      <c r="Q39" s="298"/>
      <c r="R39" s="383"/>
      <c r="S39" s="2280"/>
      <c r="T39" s="2216"/>
      <c r="U39" s="1038"/>
      <c r="V39" s="2347" t="str">
        <f>IF($AD$39&lt;&gt;"",$AD$39,"")</f>
        <v/>
      </c>
      <c r="W39" s="2347"/>
      <c r="X39" s="2302"/>
      <c r="Y39" s="2322"/>
      <c r="Z39" s="2322"/>
      <c r="AA39" s="2216"/>
      <c r="AB39" s="2215"/>
      <c r="AC39" s="2215"/>
      <c r="AD39" s="2363"/>
      <c r="AE39" s="2346"/>
      <c r="AF39" s="2322"/>
      <c r="AG39" s="2322"/>
      <c r="AH39" s="2323"/>
      <c r="AI39" s="2285"/>
      <c r="AJ39" s="2288"/>
      <c r="AK39" s="2134"/>
      <c r="AQ39" s="1638">
        <v>14</v>
      </c>
    </row>
    <row customHeight="1" ht="14.699999999999998">
      <c r="A40" s="1273"/>
      <c r="B40" s="1273" t="s">
        <v>227</v>
      </c>
      <c r="C40" s="1273" t="s">
        <v>228</v>
      </c>
      <c r="D40" s="1273" t="s">
        <v>229</v>
      </c>
      <c r="E40" s="1317" t="s">
        <v>598</v>
      </c>
      <c r="F40" s="1317" t="s">
        <v>599</v>
      </c>
      <c r="G40" s="1317" t="s">
        <v>600</v>
      </c>
      <c r="H40" s="1317" t="s">
        <v>601</v>
      </c>
      <c r="I40" s="1317" t="s">
        <v>602</v>
      </c>
      <c r="J40" s="1317" t="s">
        <v>603</v>
      </c>
      <c r="K40" s="1317" t="s">
        <v>604</v>
      </c>
      <c r="L40" s="1317" t="s">
        <v>579</v>
      </c>
      <c r="Q40" s="298"/>
      <c r="R40" s="383"/>
      <c r="S40" s="2280"/>
      <c r="T40" s="2216"/>
      <c r="U40" s="309"/>
      <c r="V40" s="1957" t="s">
        <v>638</v>
      </c>
      <c r="W40" s="1957" t="s">
        <v>639</v>
      </c>
      <c r="X40" s="1945" t="s">
        <v>607</v>
      </c>
      <c r="Y40" s="2277" t="s">
        <v>608</v>
      </c>
      <c r="Z40" s="2327"/>
      <c r="AA40" s="2216"/>
      <c r="AB40" s="2215"/>
      <c r="AC40" s="2215"/>
      <c r="AD40" s="1975" t="s">
        <v>638</v>
      </c>
      <c r="AE40" s="1966" t="s">
        <v>639</v>
      </c>
      <c r="AF40" s="1945" t="s">
        <v>607</v>
      </c>
      <c r="AG40" s="2277" t="s">
        <v>608</v>
      </c>
      <c r="AH40" s="2278"/>
      <c r="AI40" s="2286"/>
      <c r="AJ40" s="2289"/>
      <c r="AK40" s="2134"/>
      <c r="AQ40" s="1638">
        <v>14</v>
      </c>
    </row>
    <row s="1648" customFormat="1" customHeight="1" ht="11.25" hidden="1">
      <c r="A41" s="1273"/>
      <c r="B41" s="1273"/>
      <c r="C41" s="1273"/>
      <c r="D41" s="1273"/>
      <c r="E41" s="1273"/>
      <c r="F41" s="1273"/>
      <c r="G41" s="1273"/>
      <c r="H41" s="1273"/>
      <c r="I41" s="1273"/>
      <c r="J41" s="1273"/>
      <c r="K41" s="1273"/>
      <c r="L41" s="1317"/>
      <c r="M41" s="1972"/>
      <c r="N41" s="1972"/>
      <c r="O41" s="1972"/>
      <c r="P41" s="517"/>
      <c r="Q41" s="1261"/>
      <c r="R41" s="1261">
        <v>1</v>
      </c>
      <c r="S41" s="1284" t="s">
        <v>108</v>
      </c>
      <c r="T41" s="1262" t="s">
        <v>99</v>
      </c>
      <c r="U41" s="1252" t="str">
        <f>OFFSET(U41,0,-1)</f>
        <v>2</v>
      </c>
      <c r="V41" s="1963">
        <f>OFFSET(V41,0,-1)+1</f>
        <v>3</v>
      </c>
      <c r="W41" s="1963">
        <f>OFFSET(W41,0,-1)+1</f>
        <v>4</v>
      </c>
      <c r="X41" s="1963">
        <f>OFFSET(X41,0,-1)+1</f>
        <v>5</v>
      </c>
      <c r="Y41" s="2279">
        <f>OFFSET(Y41,0,-1)+1</f>
        <v>6</v>
      </c>
      <c r="Z41" s="2279"/>
      <c r="AA41" s="1348">
        <f>OFFSET(AA41,0,-2)+1</f>
        <v>7</v>
      </c>
      <c r="AB41" s="1348"/>
      <c r="AC41" s="1348"/>
      <c r="AD41" s="1963">
        <f>OFFSET(AD41,0,-1)+1</f>
        <v>1</v>
      </c>
      <c r="AE41" s="1963">
        <f>OFFSET(AE41,0,-1)+1</f>
        <v>2</v>
      </c>
      <c r="AF41" s="1963">
        <f>OFFSET(AF41,0,-1)+1</f>
        <v>3</v>
      </c>
      <c r="AG41" s="2279">
        <f>OFFSET(AG41,0,-1)+1</f>
        <v>4</v>
      </c>
      <c r="AH41" s="2279"/>
      <c r="AI41" s="1963">
        <f>OFFSET(AI41,0,-2)+1</f>
        <v>5</v>
      </c>
      <c r="AJ41" s="1252">
        <f>OFFSET(AJ41,0,-1)</f>
        <v>5</v>
      </c>
      <c r="AK41" s="1963">
        <f>OFFSET(AK41,0,-1)+1</f>
        <v>6</v>
      </c>
      <c r="AL41" s="1643"/>
      <c r="AM41" s="1643"/>
      <c r="AN41" s="1643"/>
      <c r="AO41" s="1643"/>
      <c r="AP41" s="1643"/>
      <c r="AQ41" s="1648">
        <v>0</v>
      </c>
    </row>
    <row customHeight="1" ht="107.25">
      <c r="A42" s="1274" t="s">
        <v>290</v>
      </c>
      <c r="B42" s="1274"/>
      <c r="C42" s="1274"/>
      <c r="D42" s="1274"/>
      <c r="E42" s="2296">
        <v>1</v>
      </c>
      <c r="F42" s="1274"/>
      <c r="G42" s="1274"/>
      <c r="H42" s="1274"/>
      <c r="I42" s="1274"/>
      <c r="J42" s="1274"/>
      <c r="K42" s="1274"/>
      <c r="L42" s="1317"/>
      <c r="M42" s="1617"/>
      <c r="N42" s="1617"/>
      <c r="O42" s="1617"/>
      <c r="P42" s="1416"/>
      <c r="Q42" s="880"/>
      <c r="R42" s="362"/>
      <c r="S42" s="1965">
        <f>INDEX(PT_DIFFERENTIATION_NUM_NTAR,MATCH(A42,PT_DIFFERENTIATION_NTAR_ID,0))</f>
        <v>0</v>
      </c>
      <c r="T42" s="1532" t="s">
        <v>215</v>
      </c>
      <c r="U42" s="307"/>
      <c r="V42" s="2250"/>
      <c r="W42" s="2250"/>
      <c r="X42" s="2250"/>
      <c r="Y42" s="2250"/>
      <c r="Z42" s="2250"/>
      <c r="AA42" s="2251"/>
      <c r="AB42" s="1959"/>
      <c r="AC42" s="2250" t="str">
        <f>INDEX(PT_DIFFERENTIATION_NTAR,MATCH(A42,PT_DIFFERENTIATION_NTAR_ID,0))</f>
        <v/>
      </c>
      <c r="AD42" s="2250"/>
      <c r="AE42" s="2250"/>
      <c r="AF42" s="2250"/>
      <c r="AG42" s="2250"/>
      <c r="AH42" s="2250"/>
      <c r="AI42" s="2250"/>
      <c r="AJ42" s="2251"/>
      <c r="AK42" s="126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31"/>
      <c r="AN42" s="1631" t="str">
        <f>IF(T42="","",T42)</f>
        <v>Наименование тарифа</v>
      </c>
      <c r="AO42" s="1631"/>
      <c r="AP42" s="1631"/>
      <c r="AQ42" s="1638">
        <v>102</v>
      </c>
    </row>
    <row customHeight="1" ht="22.049999999999997">
      <c r="A43" s="1274" t="s">
        <v>290</v>
      </c>
      <c r="B43" s="1274" t="s">
        <v>291</v>
      </c>
      <c r="C43" s="1274"/>
      <c r="D43" s="1274"/>
      <c r="E43" s="2297"/>
      <c r="F43" s="2296">
        <v>1</v>
      </c>
      <c r="G43" s="1274"/>
      <c r="H43" s="1274"/>
      <c r="I43" s="1274"/>
      <c r="J43" s="1274"/>
      <c r="K43" s="1274"/>
      <c r="L43" s="1317"/>
      <c r="M43" s="1617"/>
      <c r="N43" s="1617"/>
      <c r="O43" s="1617"/>
      <c r="P43" s="1976"/>
      <c r="Q43" s="1418"/>
      <c r="R43" s="360"/>
      <c r="S43" s="1965" t="str">
        <f>INDEX(PT_DIFFERENTIATION_NUM_TER,MATCH(B43,PT_DIFFERENTIATION_TER_ID,0))</f>
        <v>.</v>
      </c>
      <c r="T43" s="1529" t="s">
        <v>560</v>
      </c>
      <c r="U43" s="307"/>
      <c r="V43" s="2250"/>
      <c r="W43" s="2250"/>
      <c r="X43" s="2250"/>
      <c r="Y43" s="2250"/>
      <c r="Z43" s="2250"/>
      <c r="AA43" s="2251"/>
      <c r="AB43" s="1959"/>
      <c r="AC43" s="2250" t="str">
        <f>INDEX(PT_DIFFERENTIATION_TER,MATCH(B43,PT_DIFFERENTIATION_TER_ID,0))</f>
        <v/>
      </c>
      <c r="AD43" s="2250"/>
      <c r="AE43" s="2250"/>
      <c r="AF43" s="2250"/>
      <c r="AG43" s="2250"/>
      <c r="AH43" s="2250"/>
      <c r="AI43" s="2250"/>
      <c r="AJ43" s="2251"/>
      <c r="AK43" s="1265" t="s">
        <v>561</v>
      </c>
      <c r="AM43" s="1631"/>
      <c r="AN43" s="1631" t="str">
        <f>IF(T43="","",T43)</f>
        <v>Территория действия тарифа</v>
      </c>
      <c r="AO43" s="1631"/>
      <c r="AP43" s="1631"/>
      <c r="AQ43" s="1638">
        <v>21</v>
      </c>
    </row>
    <row customHeight="1" ht="24">
      <c r="A44" s="1274" t="s">
        <v>290</v>
      </c>
      <c r="B44" s="1274" t="s">
        <v>291</v>
      </c>
      <c r="C44" s="1274" t="s">
        <v>292</v>
      </c>
      <c r="D44" s="1274"/>
      <c r="E44" s="2297"/>
      <c r="F44" s="2297"/>
      <c r="G44" s="2296">
        <v>1</v>
      </c>
      <c r="H44" s="1274"/>
      <c r="I44" s="1274"/>
      <c r="J44" s="1274"/>
      <c r="K44" s="1274"/>
      <c r="L44" s="1317"/>
      <c r="M44" s="1617"/>
      <c r="N44" s="1617"/>
      <c r="O44" s="1617"/>
      <c r="P44" s="1419"/>
      <c r="Q44" s="1418"/>
      <c r="R44" s="360"/>
      <c r="S44" s="1965" t="str">
        <f>INDEX(PT_DIFFERENTIATION_NUM_CS,MATCH(C44,PT_DIFFERENTIATION_CS_ID,0))</f>
        <v>..</v>
      </c>
      <c r="T44" s="316" t="s">
        <v>562</v>
      </c>
      <c r="U44" s="307"/>
      <c r="V44" s="2250"/>
      <c r="W44" s="2250"/>
      <c r="X44" s="2250"/>
      <c r="Y44" s="2250"/>
      <c r="Z44" s="2250"/>
      <c r="AA44" s="2251"/>
      <c r="AB44" s="1959"/>
      <c r="AC44" s="2250" t="str">
        <f>INDEX(PT_DIFFERENTIATION_CS,MATCH(C44,PT_DIFFERENTIATION_CS_ID,0))</f>
        <v/>
      </c>
      <c r="AD44" s="2250"/>
      <c r="AE44" s="2250"/>
      <c r="AF44" s="2250"/>
      <c r="AG44" s="2250"/>
      <c r="AH44" s="2250"/>
      <c r="AI44" s="2250"/>
      <c r="AJ44" s="2251"/>
      <c r="AK44" s="1265" t="s">
        <v>563</v>
      </c>
      <c r="AM44" s="1631"/>
      <c r="AN44" s="1631" t="str">
        <f>IF(T44="","",T44)</f>
        <v>Наименование системы теплоснабжения </v>
      </c>
      <c r="AO44" s="1631"/>
      <c r="AP44" s="1631"/>
      <c r="AQ44" s="1638">
        <v>23</v>
      </c>
    </row>
    <row customHeight="1" ht="22.049999999999997">
      <c r="A45" s="1274" t="s">
        <v>290</v>
      </c>
      <c r="B45" s="1274" t="s">
        <v>291</v>
      </c>
      <c r="C45" s="1274" t="s">
        <v>292</v>
      </c>
      <c r="D45" s="1274" t="s">
        <v>293</v>
      </c>
      <c r="E45" s="2297"/>
      <c r="F45" s="2297"/>
      <c r="G45" s="2297"/>
      <c r="H45" s="2296">
        <v>1</v>
      </c>
      <c r="I45" s="1274"/>
      <c r="J45" s="1274"/>
      <c r="K45" s="1274"/>
      <c r="L45" s="1317"/>
      <c r="M45" s="1617"/>
      <c r="N45" s="1617"/>
      <c r="O45" s="1617"/>
      <c r="P45" s="1419"/>
      <c r="Q45" s="1418"/>
      <c r="R45" s="360"/>
      <c r="S45" s="1965" t="str">
        <f>INDEX(PT_DIFFERENTIATION_NUM_IST_TE,MATCH(D45,PT_DIFFERENTIATION_IST_TE_ID,0))</f>
        <v>...</v>
      </c>
      <c r="T45" s="317" t="s">
        <v>564</v>
      </c>
      <c r="U45" s="307"/>
      <c r="V45" s="2250"/>
      <c r="W45" s="2250"/>
      <c r="X45" s="2250"/>
      <c r="Y45" s="2250"/>
      <c r="Z45" s="2250"/>
      <c r="AA45" s="2251"/>
      <c r="AB45" s="1959"/>
      <c r="AC45" s="2250" t="str">
        <f>INDEX(PT_DIFFERENTIATION_IST_TE,MATCH(D45,PT_DIFFERENTIATION_IST_TE_ID,0))</f>
        <v/>
      </c>
      <c r="AD45" s="2250"/>
      <c r="AE45" s="2250"/>
      <c r="AF45" s="2250"/>
      <c r="AG45" s="2250"/>
      <c r="AH45" s="2250"/>
      <c r="AI45" s="2250"/>
      <c r="AJ45" s="2251"/>
      <c r="AK45" s="1265" t="s">
        <v>565</v>
      </c>
      <c r="AM45" s="1631"/>
      <c r="AN45" s="1631" t="str">
        <f>IF(T45="","",T45)</f>
        <v>Источник тепловой энергии  </v>
      </c>
      <c r="AO45" s="1631"/>
      <c r="AP45" s="1631"/>
      <c r="AQ45" s="1638">
        <v>21</v>
      </c>
    </row>
    <row s="1649" customFormat="1" customHeight="1" ht="0">
      <c r="A46" s="1382" t="s">
        <v>290</v>
      </c>
      <c r="B46" s="1382" t="s">
        <v>291</v>
      </c>
      <c r="C46" s="1382" t="s">
        <v>292</v>
      </c>
      <c r="D46" s="1382" t="s">
        <v>293</v>
      </c>
      <c r="E46" s="2297"/>
      <c r="F46" s="2297"/>
      <c r="G46" s="2297"/>
      <c r="H46" s="2297"/>
      <c r="I46" s="2134" t="str">
        <f>S45&amp;".1"</f>
        <v>....1</v>
      </c>
      <c r="J46" s="1382"/>
      <c r="K46" s="1382"/>
      <c r="L46" s="1388" t="s">
        <v>566</v>
      </c>
      <c r="M46" s="1253"/>
      <c r="N46" s="1253"/>
      <c r="O46" s="1253"/>
      <c r="P46" s="2264">
        <v>1</v>
      </c>
      <c r="Q46" s="1961"/>
      <c r="R46" s="363"/>
      <c r="S46" s="1049"/>
      <c r="T46" s="1390"/>
      <c r="U46" s="1391"/>
      <c r="V46" s="2304"/>
      <c r="W46" s="2304"/>
      <c r="X46" s="2304"/>
      <c r="Y46" s="2304"/>
      <c r="Z46" s="2304"/>
      <c r="AA46" s="2305"/>
      <c r="AB46" s="1967"/>
      <c r="AC46" s="2304"/>
      <c r="AD46" s="2304"/>
      <c r="AE46" s="2304"/>
      <c r="AF46" s="2304"/>
      <c r="AG46" s="2304"/>
      <c r="AH46" s="2304"/>
      <c r="AI46" s="2304"/>
      <c r="AJ46" s="2305"/>
      <c r="AK46" s="1392"/>
      <c r="AM46" s="1631"/>
      <c r="AN46" s="1631" t="str">
        <f>IF(T46="","",T46)</f>
        <v/>
      </c>
      <c r="AO46" s="1631"/>
      <c r="AP46" s="1631"/>
      <c r="AQ46" s="1643">
        <v>0</v>
      </c>
    </row>
    <row s="1649" customFormat="1" customHeight="1" ht="0">
      <c r="A47" s="1382" t="s">
        <v>290</v>
      </c>
      <c r="B47" s="1382" t="s">
        <v>291</v>
      </c>
      <c r="C47" s="1382" t="s">
        <v>292</v>
      </c>
      <c r="D47" s="1382" t="s">
        <v>293</v>
      </c>
      <c r="E47" s="2297"/>
      <c r="F47" s="2297"/>
      <c r="G47" s="2297"/>
      <c r="H47" s="2297"/>
      <c r="I47" s="2108"/>
      <c r="J47" s="2134" t="str">
        <f>S45&amp;".1"</f>
        <v>....1</v>
      </c>
      <c r="K47" s="1382"/>
      <c r="L47" s="1388"/>
      <c r="M47" s="1253"/>
      <c r="N47" s="1253"/>
      <c r="O47" s="1253"/>
      <c r="P47" s="2264"/>
      <c r="Q47" s="2264">
        <v>1</v>
      </c>
      <c r="R47" s="364"/>
      <c r="S47" s="1049"/>
      <c r="T47" s="1406"/>
      <c r="U47" s="1391"/>
      <c r="V47" s="2304"/>
      <c r="W47" s="2304"/>
      <c r="X47" s="2304"/>
      <c r="Y47" s="2304"/>
      <c r="Z47" s="2304"/>
      <c r="AA47" s="2305"/>
      <c r="AB47" s="1967"/>
      <c r="AC47" s="2304"/>
      <c r="AD47" s="2304"/>
      <c r="AE47" s="2304"/>
      <c r="AF47" s="2304"/>
      <c r="AG47" s="2304"/>
      <c r="AH47" s="2304"/>
      <c r="AI47" s="2304"/>
      <c r="AJ47" s="2305"/>
      <c r="AK47" s="1392"/>
      <c r="AM47" s="1631"/>
      <c r="AN47" s="1631" t="str">
        <f>IF(T47="","",T47)</f>
        <v/>
      </c>
      <c r="AO47" s="1631"/>
      <c r="AP47" s="1631"/>
      <c r="AQ47" s="1643">
        <v>0</v>
      </c>
    </row>
    <row customHeight="1" ht="22.049999999999997">
      <c r="A48" s="1274" t="s">
        <v>290</v>
      </c>
      <c r="B48" s="1274" t="s">
        <v>291</v>
      </c>
      <c r="C48" s="1274" t="s">
        <v>292</v>
      </c>
      <c r="D48" s="1274" t="s">
        <v>293</v>
      </c>
      <c r="E48" s="2297"/>
      <c r="F48" s="2297"/>
      <c r="G48" s="2297"/>
      <c r="H48" s="2297"/>
      <c r="I48" s="2108"/>
      <c r="J48" s="2108"/>
      <c r="K48" s="1948" t="str">
        <f>S45&amp;".1"</f>
        <v>....1</v>
      </c>
      <c r="L48" s="1317"/>
      <c r="P48" s="2264"/>
      <c r="Q48" s="2264"/>
      <c r="R48" s="364">
        <v>1</v>
      </c>
      <c r="S48" s="1969" t="str">
        <f>$K48</f>
        <v>....1</v>
      </c>
      <c r="T48" s="1968"/>
      <c r="U48" s="307"/>
      <c r="V48" s="758"/>
      <c r="W48" s="1264"/>
      <c r="X48" s="1962"/>
      <c r="Y48" s="1949" t="s">
        <v>66</v>
      </c>
      <c r="Z48" s="1962"/>
      <c r="AA48" s="1949" t="s">
        <v>66</v>
      </c>
      <c r="AB48" s="1971"/>
      <c r="AC48" s="1970" t="s">
        <v>28</v>
      </c>
      <c r="AD48" s="758"/>
      <c r="AE48" s="1264"/>
      <c r="AF48" s="1962"/>
      <c r="AG48" s="1949" t="s">
        <v>66</v>
      </c>
      <c r="AH48" s="1962"/>
      <c r="AI48" s="1949" t="s">
        <v>66</v>
      </c>
      <c r="AJ48" s="1355"/>
      <c r="AK48" s="2260" t="s">
        <v>640</v>
      </c>
      <c r="AL48" s="1643">
        <f>STRCHECKDATE(#REF!)</f>
      </c>
      <c r="AM48" s="1631"/>
      <c r="AN48" s="1631" t="str">
        <f>IF(T48="","",T48)</f>
        <v/>
      </c>
      <c r="AO48" s="1631"/>
      <c r="AP48" s="1631"/>
      <c r="AQ48" s="1638">
        <v>21</v>
      </c>
    </row>
    <row customHeight="1" ht="11.549999999999999">
      <c r="A49" s="1274" t="s">
        <v>290</v>
      </c>
      <c r="B49" s="1274" t="s">
        <v>291</v>
      </c>
      <c r="C49" s="1274" t="s">
        <v>292</v>
      </c>
      <c r="D49" s="1274" t="s">
        <v>293</v>
      </c>
      <c r="E49" s="2297"/>
      <c r="F49" s="2297"/>
      <c r="G49" s="2297"/>
      <c r="H49" s="2297"/>
      <c r="I49" s="2108"/>
      <c r="J49" s="2134"/>
      <c r="K49" s="1274"/>
      <c r="L49" s="1317"/>
      <c r="P49" s="2264"/>
      <c r="Q49" s="2264"/>
      <c r="R49" s="363"/>
      <c r="S49" s="1285"/>
      <c r="T49" s="294" t="s">
        <v>628</v>
      </c>
      <c r="U49" s="607"/>
      <c r="V49" s="607"/>
      <c r="W49" s="607"/>
      <c r="X49" s="607"/>
      <c r="Y49" s="607"/>
      <c r="Z49" s="607"/>
      <c r="AA49" s="331"/>
      <c r="AB49" s="607"/>
      <c r="AC49" s="607"/>
      <c r="AD49" s="607"/>
      <c r="AE49" s="607"/>
      <c r="AF49" s="607"/>
      <c r="AG49" s="607"/>
      <c r="AH49" s="607"/>
      <c r="AI49" s="607"/>
      <c r="AJ49" s="331"/>
      <c r="AK49" s="2262"/>
      <c r="AM49" s="1631"/>
      <c r="AN49" s="1631" t="str">
        <f>IF(T49="","",T49)</f>
        <v>Добавить строку</v>
      </c>
      <c r="AO49" s="1631"/>
      <c r="AP49" s="1631"/>
      <c r="AQ49" s="1638">
        <v>11</v>
      </c>
    </row>
    <row s="1649" customFormat="1" customHeight="1" ht="1.05">
      <c r="A50" s="1382" t="s">
        <v>290</v>
      </c>
      <c r="B50" s="1382" t="s">
        <v>291</v>
      </c>
      <c r="C50" s="1382" t="s">
        <v>292</v>
      </c>
      <c r="D50" s="1382" t="s">
        <v>293</v>
      </c>
      <c r="E50" s="2297"/>
      <c r="F50" s="2297"/>
      <c r="G50" s="2297"/>
      <c r="H50" s="2297"/>
      <c r="I50" s="2134"/>
      <c r="J50" s="1382"/>
      <c r="K50" s="1382"/>
      <c r="L50" s="1388"/>
      <c r="M50" s="1253"/>
      <c r="N50" s="1253"/>
      <c r="O50" s="1253"/>
      <c r="P50" s="2264"/>
      <c r="Q50" s="1961"/>
      <c r="R50" s="363"/>
      <c r="S50" s="1393"/>
      <c r="T50" s="1394" t="s">
        <v>575</v>
      </c>
      <c r="U50" s="1395"/>
      <c r="V50" s="1395"/>
      <c r="W50" s="1395"/>
      <c r="X50" s="1395"/>
      <c r="Y50" s="1395"/>
      <c r="Z50" s="1395"/>
      <c r="AA50" s="1395"/>
      <c r="AB50" s="1395"/>
      <c r="AC50" s="1395"/>
      <c r="AD50" s="1395"/>
      <c r="AE50" s="1395"/>
      <c r="AF50" s="1395"/>
      <c r="AG50" s="1395"/>
      <c r="AH50" s="1395"/>
      <c r="AI50" s="1395"/>
      <c r="AJ50" s="1395"/>
      <c r="AK50" s="1396"/>
      <c r="AM50" s="1631"/>
      <c r="AN50" s="1631" t="str">
        <f>IF(T50="","",T50)</f>
        <v>Добавить группу потребителей</v>
      </c>
      <c r="AO50" s="1631"/>
      <c r="AP50" s="1631"/>
      <c r="AQ50" s="1643">
        <v>1</v>
      </c>
    </row>
    <row s="1648" customFormat="1" customHeight="1" ht="1.05">
      <c r="A51" s="1382" t="s">
        <v>290</v>
      </c>
      <c r="B51" s="1382" t="s">
        <v>291</v>
      </c>
      <c r="C51" s="1382" t="s">
        <v>292</v>
      </c>
      <c r="D51" s="1382" t="s">
        <v>293</v>
      </c>
      <c r="E51" s="2297"/>
      <c r="F51" s="2297"/>
      <c r="G51" s="2297"/>
      <c r="H51" s="2296"/>
      <c r="I51" s="1382"/>
      <c r="J51" s="1382"/>
      <c r="K51" s="1382"/>
      <c r="L51" s="1388"/>
      <c r="M51" s="1385"/>
      <c r="N51" s="1385"/>
      <c r="O51" s="358"/>
      <c r="P51" s="387"/>
      <c r="Q51" s="1351"/>
      <c r="R51" s="1407"/>
      <c r="S51" s="1393"/>
      <c r="T51" s="1394"/>
      <c r="U51" s="1395"/>
      <c r="V51" s="1395"/>
      <c r="W51" s="1395"/>
      <c r="X51" s="1395"/>
      <c r="Y51" s="1395"/>
      <c r="Z51" s="1395"/>
      <c r="AA51" s="1395"/>
      <c r="AB51" s="1395"/>
      <c r="AC51" s="1395"/>
      <c r="AD51" s="1395"/>
      <c r="AE51" s="1395"/>
      <c r="AF51" s="1395"/>
      <c r="AG51" s="1395"/>
      <c r="AH51" s="1395"/>
      <c r="AI51" s="1395"/>
      <c r="AJ51" s="1395"/>
      <c r="AK51" s="1396"/>
      <c r="AL51" s="1643"/>
      <c r="AM51" s="1631"/>
      <c r="AN51" s="1631" t="str">
        <f>IF(T51="","",T51)</f>
        <v/>
      </c>
      <c r="AO51" s="1631"/>
      <c r="AP51" s="1631"/>
      <c r="AQ51" s="1648">
        <v>1</v>
      </c>
    </row>
    <row s="1649" customFormat="1" customHeight="1" ht="1.05">
      <c r="A52" s="1382" t="s">
        <v>290</v>
      </c>
      <c r="B52" s="1382" t="s">
        <v>291</v>
      </c>
      <c r="C52" s="1382" t="s">
        <v>292</v>
      </c>
      <c r="D52" s="1381"/>
      <c r="E52" s="2297"/>
      <c r="F52" s="2297"/>
      <c r="G52" s="2296"/>
      <c r="H52" s="1381"/>
      <c r="I52" s="1381"/>
      <c r="J52" s="1381"/>
      <c r="K52" s="1381"/>
      <c r="L52" s="1384"/>
      <c r="M52" s="1385"/>
      <c r="N52" s="1385"/>
      <c r="O52" s="358"/>
      <c r="P52" s="1323"/>
      <c r="Q52" s="1324"/>
      <c r="R52" s="1323"/>
      <c r="S52" s="1329"/>
      <c r="T52" s="1332" t="s">
        <v>577</v>
      </c>
      <c r="U52" s="1331"/>
      <c r="V52" s="1331"/>
      <c r="W52" s="1331"/>
      <c r="X52" s="1331"/>
      <c r="Y52" s="1331"/>
      <c r="Z52" s="1331"/>
      <c r="AA52" s="1331"/>
      <c r="AB52" s="1331"/>
      <c r="AC52" s="1331"/>
      <c r="AD52" s="1331"/>
      <c r="AE52" s="1331"/>
      <c r="AF52" s="1331"/>
      <c r="AG52" s="1331"/>
      <c r="AH52" s="1331"/>
      <c r="AI52" s="1331"/>
      <c r="AJ52" s="1331"/>
      <c r="AK52" s="1331"/>
      <c r="AM52" s="1258"/>
      <c r="AN52" s="1258" t="str">
        <f>IF(T52="","",T52)</f>
        <v>Добавить источник для дифференциации</v>
      </c>
      <c r="AO52" s="1258"/>
      <c r="AP52" s="1258"/>
      <c r="AQ52" s="1649">
        <v>1</v>
      </c>
    </row>
    <row s="1649" customFormat="1" customHeight="1" ht="1.05">
      <c r="A53" s="1382" t="s">
        <v>290</v>
      </c>
      <c r="B53" s="1382" t="s">
        <v>291</v>
      </c>
      <c r="C53" s="1381"/>
      <c r="D53" s="1381"/>
      <c r="E53" s="2297"/>
      <c r="F53" s="2296"/>
      <c r="G53" s="1381"/>
      <c r="H53" s="1381"/>
      <c r="I53" s="1381"/>
      <c r="J53" s="1381"/>
      <c r="K53" s="1381"/>
      <c r="L53" s="1384"/>
      <c r="M53" s="1386"/>
      <c r="N53" s="1386"/>
      <c r="O53" s="358"/>
      <c r="P53" s="1323"/>
      <c r="Q53" s="1324"/>
      <c r="R53" s="1323"/>
      <c r="S53" s="1329"/>
      <c r="T53" s="1332" t="s">
        <v>316</v>
      </c>
      <c r="U53" s="1331"/>
      <c r="V53" s="1331"/>
      <c r="W53" s="1331"/>
      <c r="X53" s="1331"/>
      <c r="Y53" s="1331"/>
      <c r="Z53" s="1331"/>
      <c r="AA53" s="1331"/>
      <c r="AB53" s="1331"/>
      <c r="AC53" s="1331"/>
      <c r="AD53" s="1331"/>
      <c r="AE53" s="1331"/>
      <c r="AF53" s="1331"/>
      <c r="AG53" s="1331"/>
      <c r="AH53" s="1331"/>
      <c r="AI53" s="1331"/>
      <c r="AJ53" s="1331"/>
      <c r="AK53" s="1331"/>
      <c r="AM53" s="1258"/>
      <c r="AN53" s="1258" t="str">
        <f>IF(T53="","",T53)</f>
        <v>Добавить централизованную систему для дифференциации</v>
      </c>
      <c r="AO53" s="1258"/>
      <c r="AP53" s="1258"/>
      <c r="AQ53" s="1649">
        <v>1</v>
      </c>
    </row>
    <row s="1649" customFormat="1" customHeight="1" ht="1.05">
      <c r="A54" s="1382" t="s">
        <v>290</v>
      </c>
      <c r="B54" s="1382"/>
      <c r="C54" s="1382"/>
      <c r="D54" s="1382"/>
      <c r="E54" s="2297"/>
      <c r="F54" s="1382"/>
      <c r="G54" s="1382"/>
      <c r="H54" s="1382"/>
      <c r="I54" s="1382"/>
      <c r="J54" s="1382"/>
      <c r="K54" s="1382"/>
      <c r="L54" s="1388"/>
      <c r="M54" s="1386"/>
      <c r="N54" s="1386"/>
      <c r="O54" s="358"/>
      <c r="P54" s="387"/>
      <c r="Q54" s="1351"/>
      <c r="R54" s="387"/>
      <c r="S54" s="1329"/>
      <c r="T54" s="1332" t="s">
        <v>390</v>
      </c>
      <c r="U54" s="1331"/>
      <c r="V54" s="1331"/>
      <c r="W54" s="1331"/>
      <c r="X54" s="1331"/>
      <c r="Y54" s="1331"/>
      <c r="Z54" s="1331"/>
      <c r="AA54" s="1331"/>
      <c r="AB54" s="1331"/>
      <c r="AC54" s="1331"/>
      <c r="AD54" s="1331"/>
      <c r="AE54" s="1331"/>
      <c r="AF54" s="1331"/>
      <c r="AG54" s="1331"/>
      <c r="AH54" s="1331"/>
      <c r="AI54" s="1331"/>
      <c r="AJ54" s="1331"/>
      <c r="AK54" s="1331"/>
      <c r="AM54" s="1631"/>
      <c r="AN54" s="1631" t="str">
        <f>IF(T54="","",T54)</f>
        <v>Добавить территорию для дифференциации</v>
      </c>
      <c r="AO54" s="1631"/>
      <c r="AP54" s="1631"/>
      <c r="AQ54" s="1643">
        <v>1</v>
      </c>
    </row>
    <row s="1649" customFormat="1" customHeight="1" ht="1.05">
      <c r="A55" s="1382" t="s">
        <v>290</v>
      </c>
      <c r="B55" s="1382"/>
      <c r="C55" s="1382"/>
      <c r="D55" s="1382"/>
      <c r="E55" s="2296"/>
      <c r="F55" s="1382"/>
      <c r="G55" s="1382"/>
      <c r="H55" s="1382"/>
      <c r="I55" s="1382"/>
      <c r="J55" s="1382"/>
      <c r="K55" s="1382"/>
      <c r="L55" s="1388"/>
      <c r="M55" s="1386"/>
      <c r="N55" s="1386"/>
      <c r="O55" s="358"/>
      <c r="P55" s="387"/>
      <c r="Q55" s="1351"/>
      <c r="R55" s="387"/>
      <c r="S55" s="1329"/>
      <c r="T55" s="1332" t="s">
        <v>390</v>
      </c>
      <c r="U55" s="1331"/>
      <c r="V55" s="1331"/>
      <c r="W55" s="1331"/>
      <c r="X55" s="1331"/>
      <c r="Y55" s="1331"/>
      <c r="Z55" s="1331"/>
      <c r="AA55" s="1331"/>
      <c r="AB55" s="1331"/>
      <c r="AC55" s="1331"/>
      <c r="AD55" s="1331"/>
      <c r="AE55" s="1331"/>
      <c r="AF55" s="1331"/>
      <c r="AG55" s="1331"/>
      <c r="AH55" s="1331"/>
      <c r="AI55" s="1331"/>
      <c r="AJ55" s="1331"/>
      <c r="AK55" s="1331"/>
      <c r="AM55" s="1631"/>
      <c r="AN55" s="1631" t="str">
        <f>IF(T55="","",T55)</f>
        <v>Добавить территорию для дифференциации</v>
      </c>
      <c r="AO55" s="1631"/>
      <c r="AP55" s="1631"/>
      <c r="AQ55" s="1643">
        <v>1</v>
      </c>
    </row>
    <row s="1649" customFormat="1" customHeight="1" ht="1.05">
      <c r="A56" s="1381"/>
      <c r="B56" s="1381"/>
      <c r="C56" s="1381"/>
      <c r="D56" s="1381"/>
      <c r="E56" s="1382"/>
      <c r="F56" s="1381"/>
      <c r="G56" s="1381"/>
      <c r="H56" s="1381"/>
      <c r="I56" s="1381"/>
      <c r="J56" s="1381"/>
      <c r="K56" s="1381"/>
      <c r="L56" s="1384"/>
      <c r="M56" s="1386"/>
      <c r="N56" s="1386"/>
      <c r="O56" s="358"/>
      <c r="P56" s="1323"/>
      <c r="Q56" s="1324"/>
      <c r="R56" s="1323"/>
      <c r="S56" s="1329"/>
      <c r="T56" s="1332" t="s">
        <v>391</v>
      </c>
      <c r="U56" s="1331"/>
      <c r="V56" s="1331"/>
      <c r="W56" s="1331"/>
      <c r="X56" s="1331"/>
      <c r="Y56" s="1331"/>
      <c r="Z56" s="1331"/>
      <c r="AA56" s="1331"/>
      <c r="AB56" s="1331"/>
      <c r="AC56" s="1331"/>
      <c r="AD56" s="1331"/>
      <c r="AE56" s="1331"/>
      <c r="AF56" s="1331"/>
      <c r="AG56" s="1331"/>
      <c r="AH56" s="1331"/>
      <c r="AI56" s="1331"/>
      <c r="AJ56" s="1331"/>
      <c r="AK56" s="1331"/>
      <c r="AM56" s="1258"/>
      <c r="AN56" s="1258" t="str">
        <f>IF(T56="","",T56)</f>
        <v>Добавить наименование тарифа</v>
      </c>
      <c r="AO56" s="1258"/>
      <c r="AP56" s="1258"/>
      <c r="AQ56" s="1649">
        <v>1</v>
      </c>
    </row>
    <row customHeight="1" ht="11.549999999999999">
      <c r="M57" s="1638"/>
      <c r="N57" s="1638"/>
      <c r="O57" s="1642"/>
      <c r="P57" s="1373"/>
      <c r="Q57" s="1373"/>
      <c r="R57" s="1638"/>
      <c r="S57" s="1638"/>
      <c r="AL57" s="1638"/>
      <c r="AM57" s="1638"/>
      <c r="AN57" s="1638"/>
      <c r="AO57" s="1638"/>
      <c r="AP57" s="1638"/>
      <c r="AQ57" s="1638">
        <v>11</v>
      </c>
    </row>
    <row customHeight="1" ht="19.95">
      <c r="O58" s="1642"/>
      <c r="S58" s="1260"/>
      <c r="T58" s="2292"/>
      <c r="U58" s="2292"/>
      <c r="V58" s="2292"/>
      <c r="W58" s="2292"/>
      <c r="X58" s="2292"/>
      <c r="Y58" s="2292"/>
      <c r="Z58" s="2292"/>
      <c r="AA58" s="2292"/>
      <c r="AB58" s="2292"/>
      <c r="AC58" s="2292"/>
      <c r="AD58" s="2292"/>
      <c r="AE58" s="2292"/>
      <c r="AF58" s="2292"/>
      <c r="AG58" s="2292"/>
      <c r="AH58" s="2292"/>
      <c r="AI58" s="2292"/>
      <c r="AJ58" s="2292"/>
      <c r="AK58" s="2292"/>
      <c r="AQ58" s="1638">
        <v>19</v>
      </c>
    </row>
    <row customHeight="1" ht="21">
      <c r="O59" s="1642"/>
      <c r="T59" s="2292"/>
      <c r="U59" s="2292"/>
      <c r="V59" s="2292"/>
      <c r="W59" s="2292"/>
      <c r="X59" s="2292"/>
      <c r="Y59" s="2292"/>
      <c r="Z59" s="2292"/>
      <c r="AA59" s="2292"/>
      <c r="AB59" s="2292"/>
      <c r="AC59" s="2292"/>
      <c r="AD59" s="2292"/>
      <c r="AE59" s="2292"/>
      <c r="AF59" s="2292"/>
      <c r="AG59" s="2292"/>
      <c r="AH59" s="2292"/>
      <c r="AI59" s="2292"/>
      <c r="AJ59" s="2292"/>
      <c r="AK59" s="2292"/>
      <c r="AQ59" s="1638">
        <v>20</v>
      </c>
    </row>
    <row customHeight="1" ht="14.699999999999998">
      <c r="O60" s="1642"/>
      <c r="T60" s="1960"/>
      <c r="U60" s="1960"/>
      <c r="V60" s="1960"/>
      <c r="W60" s="1960"/>
      <c r="X60" s="1960"/>
      <c r="Y60" s="1960"/>
      <c r="Z60" s="1960"/>
      <c r="AA60" s="1960"/>
      <c r="AB60" s="1960"/>
      <c r="AC60" s="1960"/>
      <c r="AD60" s="1960"/>
      <c r="AE60" s="1960"/>
      <c r="AF60" s="1960"/>
      <c r="AG60" s="1960"/>
      <c r="AH60" s="1960"/>
      <c r="AI60" s="1960"/>
      <c r="AJ60" s="1960"/>
      <c r="AK60" s="1960"/>
      <c r="AQ60" s="1638">
        <v>14</v>
      </c>
    </row>
    <row customHeight="1" ht="19.95">
      <c r="O61" s="1642"/>
      <c r="T61" s="2292"/>
      <c r="U61" s="2292"/>
      <c r="V61" s="2292"/>
      <c r="W61" s="2292"/>
      <c r="X61" s="2292"/>
      <c r="Y61" s="2292"/>
      <c r="Z61" s="2292"/>
      <c r="AA61" s="2292"/>
      <c r="AB61" s="2292"/>
      <c r="AC61" s="2292"/>
      <c r="AD61" s="2292"/>
      <c r="AE61" s="2292"/>
      <c r="AF61" s="2292"/>
      <c r="AG61" s="2292"/>
      <c r="AH61" s="2292"/>
      <c r="AI61" s="2292"/>
      <c r="AJ61" s="2292"/>
      <c r="AK61" s="2292"/>
      <c r="AQ61" s="1638">
        <v>19</v>
      </c>
    </row>
    <row customHeight="1" ht="16.8">
      <c r="O62" s="1642"/>
      <c r="T62" s="2292"/>
      <c r="U62" s="2292"/>
      <c r="V62" s="2292"/>
      <c r="W62" s="2292"/>
      <c r="X62" s="2292"/>
      <c r="Y62" s="2292"/>
      <c r="Z62" s="2292"/>
      <c r="AA62" s="2292"/>
      <c r="AB62" s="2292"/>
      <c r="AC62" s="2292"/>
      <c r="AD62" s="2292"/>
      <c r="AE62" s="2292"/>
      <c r="AF62" s="2292"/>
      <c r="AG62" s="2292"/>
      <c r="AH62" s="2292"/>
      <c r="AI62" s="2292"/>
      <c r="AJ62" s="2292"/>
      <c r="AK62" s="2292"/>
      <c r="AQ62" s="1638">
        <v>16</v>
      </c>
    </row>
    <row customHeight="1" ht="14.699999999999998">
      <c r="O63" s="1642"/>
      <c r="AQ63" s="1638">
        <v>14</v>
      </c>
    </row>
    <row customHeight="1" ht="22.5" hidden="1">
      <c r="A64" s="1638" t="s">
        <v>82</v>
      </c>
      <c r="B64" s="1638">
        <v>0</v>
      </c>
      <c r="C64" s="1638">
        <v>0</v>
      </c>
      <c r="D64" s="1638">
        <v>0</v>
      </c>
      <c r="E64" s="1638">
        <v>0</v>
      </c>
      <c r="F64" s="1638">
        <v>0</v>
      </c>
      <c r="G64" s="1638">
        <v>0</v>
      </c>
      <c r="H64" s="1638">
        <v>0</v>
      </c>
      <c r="I64" s="1638">
        <v>0</v>
      </c>
      <c r="J64" s="1638">
        <v>0</v>
      </c>
      <c r="K64" s="1638">
        <v>0</v>
      </c>
      <c r="L64" s="1946">
        <v>0</v>
      </c>
      <c r="M64" s="1972">
        <v>0</v>
      </c>
      <c r="N64" s="1972">
        <v>0</v>
      </c>
      <c r="O64" s="1972">
        <v>0</v>
      </c>
      <c r="P64" s="1369">
        <v>3</v>
      </c>
      <c r="Q64" s="1378">
        <v>3</v>
      </c>
      <c r="R64" s="351">
        <v>3</v>
      </c>
      <c r="S64" s="588">
        <v>12</v>
      </c>
      <c r="T64" s="1638">
        <v>31</v>
      </c>
      <c r="U64" s="1638">
        <v>0</v>
      </c>
      <c r="V64" s="1638">
        <v>0</v>
      </c>
      <c r="W64" s="1638">
        <v>0</v>
      </c>
      <c r="X64" s="1638">
        <v>0</v>
      </c>
      <c r="Y64" s="1638">
        <v>0</v>
      </c>
      <c r="Z64" s="1638">
        <v>0</v>
      </c>
      <c r="AA64" s="1638">
        <v>0</v>
      </c>
      <c r="AB64" s="1638">
        <v>27</v>
      </c>
      <c r="AC64" s="1638">
        <v>24</v>
      </c>
      <c r="AD64" s="1638">
        <v>21</v>
      </c>
      <c r="AE64" s="1638">
        <v>21</v>
      </c>
      <c r="AF64" s="1638">
        <v>11</v>
      </c>
      <c r="AG64" s="1638">
        <v>3</v>
      </c>
      <c r="AH64" s="1638">
        <v>11</v>
      </c>
      <c r="AI64" s="1638">
        <v>8</v>
      </c>
      <c r="AJ64" s="1638">
        <v>4</v>
      </c>
      <c r="AK64" s="1638">
        <v>115</v>
      </c>
      <c r="AL64" s="1643">
        <v>10</v>
      </c>
      <c r="AM64" s="1643">
        <v>10</v>
      </c>
      <c r="AN64" s="1643">
        <v>10</v>
      </c>
      <c r="AO64" s="1643">
        <v>10</v>
      </c>
      <c r="AP64" s="1643">
        <v>10</v>
      </c>
      <c r="AQ64" s="1638">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058258-9277-03A3-044E-5EC8A2D9771F}"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73" width="11.57421875" hidden="1" customWidth="1"/>
    <col min="2" max="2" style="1373" width="11.00390625" hidden="1" customWidth="1"/>
    <col min="3" max="3" style="1373" width="10.57421875" hidden="1"/>
    <col min="4" max="4" style="1373" width="12.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1783" width="3.7109375" hidden="1" customWidth="1"/>
    <col min="17" max="17" style="1378" width="3.7109375" hidden="1" customWidth="1"/>
    <col min="18" max="18" style="351" width="3.00390625" customWidth="1"/>
    <col min="19" max="19" style="2414" width="12.00390625" customWidth="1"/>
    <col min="20" max="20" style="1642" width="31.00390625" customWidth="1"/>
    <col min="21" max="21" style="1642" width="0.140625" customWidth="1"/>
    <col min="22" max="25" style="1642" width="21.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3.7109375" customWidth="1"/>
    <col min="31" max="32" style="1642" width="3.00390625" customWidth="1"/>
    <col min="33" max="33" style="1642" width="24.00390625" customWidth="1"/>
    <col min="34" max="34" style="1642" width="3.7109375" customWidth="1"/>
    <col min="35" max="36" style="1642" width="3.00390625" customWidth="1"/>
    <col min="37" max="37" style="1642" width="24.00390625" customWidth="1"/>
    <col min="38" max="38" style="1642" width="3.7109375" customWidth="1"/>
    <col min="39" max="40" style="1642" width="3.00390625" customWidth="1"/>
    <col min="41" max="41" style="1642" width="18.00390625" customWidth="1"/>
    <col min="42" max="42" style="1642" width="3.7109375" customWidth="1"/>
    <col min="43" max="44" style="1642" width="3.00390625" customWidth="1"/>
    <col min="45" max="45" style="1642" width="18.00390625" customWidth="1"/>
    <col min="46" max="49" style="1642" width="21.00390625" customWidth="1"/>
    <col min="50" max="50" style="1642" width="11.00390625" customWidth="1"/>
    <col min="51" max="51" style="1642" width="3.7109375" customWidth="1"/>
    <col min="52" max="52" style="1642" width="11.00390625" customWidth="1"/>
    <col min="53" max="53" style="1642" width="8.57421875" hidden="1" customWidth="1"/>
    <col min="54" max="54" style="1642" width="4.00390625" customWidth="1"/>
    <col min="55" max="55" style="1642" width="115.00390625" customWidth="1"/>
    <col min="56" max="60" style="1649" width="10.00390625" customWidth="1"/>
    <col min="61" max="61" style="1642" width="10.57421875" hidden="1"/>
  </cols>
  <sheetData>
    <row customHeight="1" ht="22.5" hidden="1">
      <c r="W1" s="334"/>
      <c r="Y1" s="334"/>
      <c r="Z1" s="334"/>
      <c r="AW1" s="334"/>
      <c r="AX1" s="334"/>
      <c r="BI1" s="1162" t="s">
        <v>14</v>
      </c>
    </row>
    <row customHeight="1" ht="21" hidden="1">
      <c r="A2" s="1370"/>
      <c r="B2" s="1370"/>
      <c r="C2" s="1370"/>
      <c r="D2" s="1370"/>
      <c r="E2" s="2265">
        <v>1</v>
      </c>
      <c r="F2" s="1370"/>
      <c r="G2" s="1370"/>
      <c r="H2" s="1370"/>
      <c r="I2" s="1370"/>
      <c r="J2" s="1370"/>
      <c r="K2" s="1370"/>
      <c r="L2" s="1371"/>
      <c r="M2" s="1372"/>
      <c r="N2" s="1372"/>
      <c r="O2" s="1372"/>
      <c r="P2" s="1416"/>
      <c r="Q2" s="880"/>
      <c r="R2" s="362"/>
      <c r="S2" s="1472">
        <f>INDEX(PT_DIFFERENTIATION_NUM_NTAR,MATCH(A2,PT_DIFFERENTIATION_NTAR_ID,0))</f>
      </c>
      <c r="T2" s="305" t="s">
        <v>215</v>
      </c>
      <c r="U2" s="307"/>
      <c r="V2" s="2250"/>
      <c r="W2" s="2250"/>
      <c r="X2" s="2250"/>
      <c r="Y2" s="2250"/>
      <c r="Z2" s="2250"/>
      <c r="AA2" s="2250"/>
      <c r="AB2" s="2250"/>
      <c r="AC2" s="2251"/>
      <c r="AD2" s="2249">
        <f>INDEX(PT_DIFFERENTIATION_NTAR,MATCH(A2,PT_DIFFERENTIATION_NTAR_ID,0))</f>
      </c>
      <c r="AE2" s="2250"/>
      <c r="AF2" s="2250"/>
      <c r="AG2" s="2250"/>
      <c r="AH2" s="2250"/>
      <c r="AI2" s="2250"/>
      <c r="AJ2" s="2250"/>
      <c r="AK2" s="2250"/>
      <c r="AL2" s="2250"/>
      <c r="AM2" s="2250"/>
      <c r="AN2" s="2250"/>
      <c r="AO2" s="2250"/>
      <c r="AP2" s="2250"/>
      <c r="AQ2" s="2250"/>
      <c r="AR2" s="2250"/>
      <c r="AS2" s="2250"/>
      <c r="AT2" s="2250"/>
      <c r="AU2" s="2250"/>
      <c r="AV2" s="2250"/>
      <c r="AW2" s="2250"/>
      <c r="AX2" s="2250"/>
      <c r="AY2" s="2250"/>
      <c r="AZ2" s="2250"/>
      <c r="BA2" s="2250"/>
      <c r="BB2" s="2251"/>
      <c r="BC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7"/>
      <c r="BF2" s="507" t="str">
        <f>IF(T2="","",T2)</f>
        <v>Наименование тарифа</v>
      </c>
      <c r="BG2" s="507"/>
      <c r="BH2" s="507"/>
      <c r="BI2" s="1162">
        <v>0</v>
      </c>
    </row>
    <row customHeight="1" ht="21" hidden="1">
      <c r="A3" s="1370"/>
      <c r="B3" s="1370"/>
      <c r="C3" s="1370"/>
      <c r="D3" s="1370"/>
      <c r="E3" s="2266"/>
      <c r="F3" s="2265">
        <v>1</v>
      </c>
      <c r="G3" s="1370"/>
      <c r="H3" s="1370"/>
      <c r="I3" s="1370"/>
      <c r="J3" s="1370"/>
      <c r="K3" s="1370"/>
      <c r="L3" s="1371"/>
      <c r="M3" s="1372"/>
      <c r="N3" s="1372"/>
      <c r="O3" s="1372"/>
      <c r="P3" s="1417"/>
      <c r="Q3" s="1418"/>
      <c r="R3" s="360"/>
      <c r="S3" s="1472">
        <f>INDEX(PT_DIFFERENTIATION_NUM_TER,MATCH(B3,PT_DIFFERENTIATION_TER_ID,0))</f>
      </c>
      <c r="T3" s="315" t="s">
        <v>560</v>
      </c>
      <c r="U3" s="307"/>
      <c r="V3" s="2250"/>
      <c r="W3" s="2250"/>
      <c r="X3" s="2250"/>
      <c r="Y3" s="2250"/>
      <c r="Z3" s="2250"/>
      <c r="AA3" s="2250"/>
      <c r="AB3" s="2250"/>
      <c r="AC3" s="2251"/>
      <c r="AD3" s="2249">
        <f>INDEX(PT_DIFFERENTIATION_TER,MATCH(B3,PT_DIFFERENTIATION_TER_ID,0))</f>
      </c>
      <c r="AE3" s="2250"/>
      <c r="AF3" s="2250"/>
      <c r="AG3" s="2250"/>
      <c r="AH3" s="2250"/>
      <c r="AI3" s="2250"/>
      <c r="AJ3" s="2250"/>
      <c r="AK3" s="2250"/>
      <c r="AL3" s="2250"/>
      <c r="AM3" s="2250"/>
      <c r="AN3" s="2250"/>
      <c r="AO3" s="2250"/>
      <c r="AP3" s="2250"/>
      <c r="AQ3" s="2250"/>
      <c r="AR3" s="2250"/>
      <c r="AS3" s="2250"/>
      <c r="AT3" s="2250"/>
      <c r="AU3" s="2250"/>
      <c r="AV3" s="2250"/>
      <c r="AW3" s="2250"/>
      <c r="AX3" s="2250"/>
      <c r="AY3" s="2250"/>
      <c r="AZ3" s="2250"/>
      <c r="BA3" s="2250"/>
      <c r="BB3" s="2251"/>
      <c r="BC3" s="1265" t="s">
        <v>561</v>
      </c>
      <c r="BE3" s="507"/>
      <c r="BF3" s="507" t="str">
        <f>IF(T3="","",T3)</f>
        <v>Территория действия тарифа</v>
      </c>
      <c r="BG3" s="507"/>
      <c r="BH3" s="507"/>
      <c r="BI3" s="1162">
        <v>0</v>
      </c>
    </row>
    <row customHeight="1" ht="42" hidden="1">
      <c r="A4" s="1370"/>
      <c r="B4" s="1370"/>
      <c r="C4" s="1370"/>
      <c r="D4" s="1370"/>
      <c r="E4" s="2266"/>
      <c r="F4" s="2266"/>
      <c r="G4" s="2265">
        <v>1</v>
      </c>
      <c r="H4" s="1370"/>
      <c r="I4" s="1370"/>
      <c r="J4" s="1370"/>
      <c r="K4" s="1370"/>
      <c r="L4" s="1371"/>
      <c r="M4" s="1372"/>
      <c r="N4" s="1372"/>
      <c r="O4" s="1372"/>
      <c r="P4" s="1419"/>
      <c r="Q4" s="1418"/>
      <c r="R4" s="360"/>
      <c r="S4" s="1472">
        <f>INDEX(PT_DIFFERENTIATION_NUM_CS,MATCH(C4,PT_DIFFERENTIATION_CS_ID,0))</f>
      </c>
      <c r="T4" s="316" t="s">
        <v>641</v>
      </c>
      <c r="U4" s="307"/>
      <c r="V4" s="2250"/>
      <c r="W4" s="2250"/>
      <c r="X4" s="2250"/>
      <c r="Y4" s="2250"/>
      <c r="Z4" s="2250"/>
      <c r="AA4" s="2250"/>
      <c r="AB4" s="2250"/>
      <c r="AC4" s="2251"/>
      <c r="AD4" s="2249">
        <f>INDEX(PT_DIFFERENTIATION_CS,MATCH(C4,PT_DIFFERENTIATION_CS_ID,0))</f>
      </c>
      <c r="AE4" s="2250"/>
      <c r="AF4" s="2250"/>
      <c r="AG4" s="2250"/>
      <c r="AH4" s="2250"/>
      <c r="AI4" s="2250"/>
      <c r="AJ4" s="2250"/>
      <c r="AK4" s="2250"/>
      <c r="AL4" s="2250"/>
      <c r="AM4" s="2250"/>
      <c r="AN4" s="2250"/>
      <c r="AO4" s="2250"/>
      <c r="AP4" s="2250"/>
      <c r="AQ4" s="2250"/>
      <c r="AR4" s="2250"/>
      <c r="AS4" s="2250"/>
      <c r="AT4" s="2250"/>
      <c r="AU4" s="2250"/>
      <c r="AV4" s="2250"/>
      <c r="AW4" s="2250"/>
      <c r="AX4" s="2250"/>
      <c r="AY4" s="2250"/>
      <c r="AZ4" s="2250"/>
      <c r="BA4" s="2250"/>
      <c r="BB4" s="2251"/>
      <c r="BC4" s="1265" t="s">
        <v>642</v>
      </c>
      <c r="BE4" s="507"/>
      <c r="BF4" s="507" t="str">
        <f>IF(T4="","",T4)</f>
        <v>Наименование централизованной системы холодного водоснабжения</v>
      </c>
      <c r="BG4" s="507"/>
      <c r="BH4" s="507"/>
      <c r="BI4" s="1162">
        <v>0</v>
      </c>
    </row>
    <row s="1649" customFormat="1" customHeight="1" ht="14.25" hidden="1">
      <c r="A5" s="1350"/>
      <c r="B5" s="1350"/>
      <c r="C5" s="1350"/>
      <c r="D5" s="1350"/>
      <c r="E5" s="2266"/>
      <c r="F5" s="2266"/>
      <c r="G5" s="2266"/>
      <c r="H5" s="2265">
        <v>1</v>
      </c>
      <c r="I5" s="1350"/>
      <c r="J5" s="1350"/>
      <c r="K5" s="1350"/>
      <c r="L5" s="1353"/>
      <c r="M5" s="1322"/>
      <c r="N5" s="1322"/>
      <c r="O5" s="1322"/>
      <c r="P5" s="1504"/>
      <c r="Q5" s="1505"/>
      <c r="R5" s="364"/>
      <c r="S5" s="1049"/>
      <c r="T5" s="1506"/>
      <c r="U5" s="1391"/>
      <c r="V5" s="2304"/>
      <c r="W5" s="2304"/>
      <c r="X5" s="2304"/>
      <c r="Y5" s="2304"/>
      <c r="Z5" s="2304"/>
      <c r="AA5" s="2304"/>
      <c r="AB5" s="2304"/>
      <c r="AC5" s="2305"/>
      <c r="AD5" s="2303"/>
      <c r="AE5" s="2304"/>
      <c r="AF5" s="2304"/>
      <c r="AG5" s="2304"/>
      <c r="AH5" s="2304"/>
      <c r="AI5" s="2304"/>
      <c r="AJ5" s="2304"/>
      <c r="AK5" s="2304"/>
      <c r="AL5" s="2304"/>
      <c r="AM5" s="2304"/>
      <c r="AN5" s="2304"/>
      <c r="AO5" s="2304"/>
      <c r="AP5" s="2304"/>
      <c r="AQ5" s="2304"/>
      <c r="AR5" s="2304"/>
      <c r="AS5" s="2304"/>
      <c r="AT5" s="2304"/>
      <c r="AU5" s="2304"/>
      <c r="AV5" s="2304"/>
      <c r="AW5" s="2304"/>
      <c r="AX5" s="2304"/>
      <c r="AY5" s="2304"/>
      <c r="AZ5" s="2304"/>
      <c r="BA5" s="2304"/>
      <c r="BB5" s="2305"/>
      <c r="BC5" s="1392" t="s">
        <v>565</v>
      </c>
      <c r="BE5" s="507"/>
      <c r="BF5" s="507" t="str">
        <f>IF(T5="","",T5)</f>
        <v/>
      </c>
      <c r="BG5" s="507"/>
      <c r="BH5" s="507"/>
      <c r="BI5" s="518">
        <v>0</v>
      </c>
    </row>
    <row s="1649" customFormat="1" customHeight="1" ht="14.25" hidden="1">
      <c r="A6" s="1350"/>
      <c r="B6" s="1350"/>
      <c r="C6" s="1350"/>
      <c r="D6" s="1350"/>
      <c r="E6" s="2266"/>
      <c r="F6" s="2266"/>
      <c r="G6" s="2266"/>
      <c r="H6" s="2266"/>
      <c r="I6" s="2263" t="str">
        <f>S5&amp;".1"</f>
        <v>.1</v>
      </c>
      <c r="J6" s="1350"/>
      <c r="K6" s="1350"/>
      <c r="L6" s="1353" t="s">
        <v>566</v>
      </c>
      <c r="M6" s="517"/>
      <c r="N6" s="517"/>
      <c r="O6" s="517"/>
      <c r="P6" s="2264">
        <v>1</v>
      </c>
      <c r="Q6" s="1469"/>
      <c r="R6" s="363"/>
      <c r="S6" s="1049"/>
      <c r="T6" s="1390"/>
      <c r="U6" s="1391"/>
      <c r="V6" s="2304"/>
      <c r="W6" s="2304"/>
      <c r="X6" s="2304"/>
      <c r="Y6" s="2304"/>
      <c r="Z6" s="2304"/>
      <c r="AA6" s="2304"/>
      <c r="AB6" s="2304"/>
      <c r="AC6" s="2305"/>
      <c r="AD6" s="2303"/>
      <c r="AE6" s="2304"/>
      <c r="AF6" s="2304"/>
      <c r="AG6" s="2304"/>
      <c r="AH6" s="2304"/>
      <c r="AI6" s="2304"/>
      <c r="AJ6" s="2304"/>
      <c r="AK6" s="2304"/>
      <c r="AL6" s="2304"/>
      <c r="AM6" s="2304"/>
      <c r="AN6" s="2304"/>
      <c r="AO6" s="2304"/>
      <c r="AP6" s="2304"/>
      <c r="AQ6" s="2304"/>
      <c r="AR6" s="2304"/>
      <c r="AS6" s="2304"/>
      <c r="AT6" s="2304"/>
      <c r="AU6" s="2304"/>
      <c r="AV6" s="2304"/>
      <c r="AW6" s="2304"/>
      <c r="AX6" s="2304"/>
      <c r="AY6" s="2304"/>
      <c r="AZ6" s="2304"/>
      <c r="BA6" s="2304"/>
      <c r="BB6" s="2305"/>
      <c r="BC6" s="1392"/>
      <c r="BE6" s="507"/>
      <c r="BF6" s="507" t="str">
        <f>IF(T6="","",T6)</f>
        <v/>
      </c>
      <c r="BG6" s="507"/>
      <c r="BH6" s="507"/>
      <c r="BI6" s="518">
        <v>0</v>
      </c>
    </row>
    <row s="1649" customFormat="1" customHeight="1" ht="14.25" hidden="1">
      <c r="A7" s="1350"/>
      <c r="B7" s="1350"/>
      <c r="C7" s="1350"/>
      <c r="D7" s="1350"/>
      <c r="E7" s="2266"/>
      <c r="F7" s="2266"/>
      <c r="G7" s="2266"/>
      <c r="H7" s="2266"/>
      <c r="I7" s="2293"/>
      <c r="J7" s="2263" t="str">
        <f>S5&amp;".1"</f>
        <v>.1</v>
      </c>
      <c r="K7" s="1350"/>
      <c r="L7" s="1353"/>
      <c r="M7" s="517"/>
      <c r="N7" s="517"/>
      <c r="O7" s="517"/>
      <c r="P7" s="2264"/>
      <c r="Q7" s="2264">
        <v>1</v>
      </c>
      <c r="R7" s="364"/>
      <c r="S7" s="1049"/>
      <c r="T7" s="1406"/>
      <c r="U7" s="1391"/>
      <c r="V7" s="2304"/>
      <c r="W7" s="2304"/>
      <c r="X7" s="2304"/>
      <c r="Y7" s="2304"/>
      <c r="Z7" s="2304"/>
      <c r="AA7" s="2304"/>
      <c r="AB7" s="2304"/>
      <c r="AC7" s="2305"/>
      <c r="AD7" s="2303"/>
      <c r="AE7" s="2304"/>
      <c r="AF7" s="2304"/>
      <c r="AG7" s="2304"/>
      <c r="AH7" s="2304"/>
      <c r="AI7" s="2304"/>
      <c r="AJ7" s="2304"/>
      <c r="AK7" s="2304"/>
      <c r="AL7" s="2304"/>
      <c r="AM7" s="2304"/>
      <c r="AN7" s="2304"/>
      <c r="AO7" s="2304"/>
      <c r="AP7" s="2304"/>
      <c r="AQ7" s="2304"/>
      <c r="AR7" s="2304"/>
      <c r="AS7" s="2304"/>
      <c r="AT7" s="2304"/>
      <c r="AU7" s="2304"/>
      <c r="AV7" s="2304"/>
      <c r="AW7" s="2304"/>
      <c r="AX7" s="2304"/>
      <c r="AY7" s="2304"/>
      <c r="AZ7" s="2304"/>
      <c r="BA7" s="2304"/>
      <c r="BB7" s="2305"/>
      <c r="BC7" s="1392"/>
      <c r="BE7" s="507"/>
      <c r="BF7" s="507" t="str">
        <f>IF(T7="","",T7)</f>
        <v/>
      </c>
      <c r="BG7" s="507"/>
      <c r="BH7" s="507"/>
      <c r="BI7" s="518">
        <v>0</v>
      </c>
    </row>
    <row customHeight="1" ht="11.25" hidden="1">
      <c r="A8" s="1370"/>
      <c r="B8" s="1370"/>
      <c r="C8" s="1370"/>
      <c r="D8" s="1370"/>
      <c r="E8" s="2266"/>
      <c r="F8" s="2266"/>
      <c r="G8" s="2266"/>
      <c r="H8" s="2266"/>
      <c r="I8" s="2293"/>
      <c r="J8" s="2293"/>
      <c r="K8" s="2263">
        <f>S4&amp;".1"</f>
      </c>
      <c r="L8" s="1371"/>
      <c r="P8" s="2264"/>
      <c r="Q8" s="2264"/>
      <c r="R8" s="2354">
        <v>1</v>
      </c>
      <c r="S8" s="2348">
        <f>$K8</f>
      </c>
      <c r="T8" s="2367"/>
      <c r="U8" s="307"/>
      <c r="V8" s="758"/>
      <c r="W8" s="1264"/>
      <c r="X8" s="758"/>
      <c r="Y8" s="1264"/>
      <c r="Z8" s="1741"/>
      <c r="AA8" s="1466" t="s">
        <v>66</v>
      </c>
      <c r="AB8" s="1741"/>
      <c r="AC8" s="1466" t="s">
        <v>66</v>
      </c>
      <c r="AD8" s="2192" t="s">
        <v>66</v>
      </c>
      <c r="AE8" s="2333"/>
      <c r="AF8" s="2212">
        <v>1</v>
      </c>
      <c r="AG8" s="2370"/>
      <c r="AH8" s="2114" t="s">
        <v>66</v>
      </c>
      <c r="AI8" s="2333"/>
      <c r="AJ8" s="2212">
        <v>1</v>
      </c>
      <c r="AK8" s="2334" t="s">
        <v>28</v>
      </c>
      <c r="AL8" s="2114" t="s">
        <v>66</v>
      </c>
      <c r="AM8" s="2199"/>
      <c r="AN8" s="2212">
        <v>1</v>
      </c>
      <c r="AO8" s="2364"/>
      <c r="AP8" s="2365" t="s">
        <v>66</v>
      </c>
      <c r="AQ8" s="318"/>
      <c r="AR8" s="1470">
        <v>1</v>
      </c>
      <c r="AS8" s="1473" t="s">
        <v>28</v>
      </c>
      <c r="AT8" s="758"/>
      <c r="AU8" s="1264"/>
      <c r="AV8" s="758"/>
      <c r="AW8" s="1264"/>
      <c r="AX8" s="1741"/>
      <c r="AY8" s="1466" t="s">
        <v>66</v>
      </c>
      <c r="AZ8" s="1741"/>
      <c r="BA8" s="1466" t="s">
        <v>66</v>
      </c>
      <c r="BB8" s="1355"/>
      <c r="BC8" s="2260" t="s">
        <v>663</v>
      </c>
      <c r="BE8" s="507"/>
      <c r="BF8" s="507" t="str">
        <f>IF(T8="","",T8)</f>
        <v/>
      </c>
      <c r="BG8" s="507"/>
      <c r="BH8" s="507"/>
      <c r="BI8" s="1162">
        <v>0</v>
      </c>
    </row>
    <row customHeight="1" ht="11.25" hidden="1">
      <c r="A9" s="1370"/>
      <c r="B9" s="1370"/>
      <c r="C9" s="1370"/>
      <c r="D9" s="1370"/>
      <c r="E9" s="2266"/>
      <c r="F9" s="2266"/>
      <c r="G9" s="2266"/>
      <c r="H9" s="2266"/>
      <c r="I9" s="2293"/>
      <c r="J9" s="2293"/>
      <c r="K9" s="2263"/>
      <c r="L9" s="1371"/>
      <c r="P9" s="2264"/>
      <c r="Q9" s="2264"/>
      <c r="R9" s="2354"/>
      <c r="S9" s="2349"/>
      <c r="T9" s="2368"/>
      <c r="U9" s="307"/>
      <c r="V9" s="1400"/>
      <c r="W9" s="1503"/>
      <c r="X9" s="1400"/>
      <c r="Y9" s="1503"/>
      <c r="Z9" s="1400"/>
      <c r="AA9" s="1400"/>
      <c r="AB9" s="1400"/>
      <c r="AC9" s="1400"/>
      <c r="AD9" s="2193"/>
      <c r="AE9" s="2333"/>
      <c r="AF9" s="2212"/>
      <c r="AG9" s="2370"/>
      <c r="AH9" s="2114"/>
      <c r="AI9" s="2333"/>
      <c r="AJ9" s="2212"/>
      <c r="AK9" s="2334"/>
      <c r="AL9" s="2114"/>
      <c r="AM9" s="2207"/>
      <c r="AN9" s="2212"/>
      <c r="AO9" s="2364"/>
      <c r="AP9" s="2366"/>
      <c r="AQ9" s="323"/>
      <c r="AR9" s="423"/>
      <c r="AS9" s="423" t="s">
        <v>664</v>
      </c>
      <c r="AT9" s="1400"/>
      <c r="AU9" s="1503"/>
      <c r="AV9" s="1400"/>
      <c r="AW9" s="1503"/>
      <c r="AX9" s="1400"/>
      <c r="AY9" s="1400"/>
      <c r="AZ9" s="1400"/>
      <c r="BA9" s="1400"/>
      <c r="BB9" s="1404"/>
      <c r="BC9" s="2261"/>
      <c r="BE9" s="507"/>
      <c r="BF9" s="507"/>
      <c r="BG9" s="507"/>
      <c r="BH9" s="507"/>
      <c r="BI9" s="1162">
        <v>0</v>
      </c>
    </row>
    <row customHeight="1" ht="11.25" hidden="1">
      <c r="A10" s="1370"/>
      <c r="B10" s="1370"/>
      <c r="C10" s="1370"/>
      <c r="D10" s="1370"/>
      <c r="E10" s="2266"/>
      <c r="F10" s="2266"/>
      <c r="G10" s="2266"/>
      <c r="H10" s="2266"/>
      <c r="I10" s="2293"/>
      <c r="J10" s="2293"/>
      <c r="K10" s="2263"/>
      <c r="L10" s="1371"/>
      <c r="P10" s="2264"/>
      <c r="Q10" s="2264"/>
      <c r="R10" s="2354"/>
      <c r="S10" s="2349"/>
      <c r="T10" s="2368"/>
      <c r="U10" s="307"/>
      <c r="V10" s="1400"/>
      <c r="W10" s="1503"/>
      <c r="X10" s="1400"/>
      <c r="Y10" s="1503"/>
      <c r="Z10" s="1400"/>
      <c r="AA10" s="1400"/>
      <c r="AB10" s="1400"/>
      <c r="AC10" s="1400"/>
      <c r="AD10" s="2193"/>
      <c r="AE10" s="2333"/>
      <c r="AF10" s="2212"/>
      <c r="AG10" s="2370"/>
      <c r="AH10" s="2114"/>
      <c r="AI10" s="2333"/>
      <c r="AJ10" s="2212"/>
      <c r="AK10" s="2334"/>
      <c r="AL10" s="2114"/>
      <c r="AM10" s="323"/>
      <c r="AN10" s="1507"/>
      <c r="AO10" s="1507" t="s">
        <v>665</v>
      </c>
      <c r="AP10" s="423"/>
      <c r="AQ10" s="423"/>
      <c r="AR10" s="423"/>
      <c r="AS10" s="1400"/>
      <c r="AT10" s="1400"/>
      <c r="AU10" s="1503"/>
      <c r="AV10" s="1400"/>
      <c r="AW10" s="1503"/>
      <c r="AX10" s="1400"/>
      <c r="AY10" s="1400"/>
      <c r="AZ10" s="1400"/>
      <c r="BA10" s="1400"/>
      <c r="BB10" s="1404"/>
      <c r="BC10" s="2261"/>
      <c r="BE10" s="507"/>
      <c r="BF10" s="507"/>
      <c r="BG10" s="507"/>
      <c r="BH10" s="507"/>
      <c r="BI10" s="1162">
        <v>0</v>
      </c>
    </row>
    <row customHeight="1" ht="11.25" hidden="1">
      <c r="A11" s="1370"/>
      <c r="B11" s="1370"/>
      <c r="C11" s="1370"/>
      <c r="D11" s="1370"/>
      <c r="E11" s="2266"/>
      <c r="F11" s="2266"/>
      <c r="G11" s="2266"/>
      <c r="H11" s="2266"/>
      <c r="I11" s="2293"/>
      <c r="J11" s="2293"/>
      <c r="K11" s="2263"/>
      <c r="L11" s="1371"/>
      <c r="P11" s="2264"/>
      <c r="Q11" s="2264"/>
      <c r="R11" s="2354"/>
      <c r="S11" s="2349"/>
      <c r="T11" s="2368"/>
      <c r="U11" s="307"/>
      <c r="V11" s="1400"/>
      <c r="W11" s="1503"/>
      <c r="X11" s="1400"/>
      <c r="Y11" s="1503"/>
      <c r="Z11" s="1400"/>
      <c r="AA11" s="1400"/>
      <c r="AB11" s="1400"/>
      <c r="AC11" s="1400"/>
      <c r="AD11" s="2193"/>
      <c r="AE11" s="2333"/>
      <c r="AF11" s="2212"/>
      <c r="AG11" s="2370"/>
      <c r="AH11" s="2114"/>
      <c r="AI11" s="301"/>
      <c r="AJ11" s="422"/>
      <c r="AK11" s="320" t="s">
        <v>666</v>
      </c>
      <c r="AL11" s="1400"/>
      <c r="AM11" s="1400"/>
      <c r="AN11" s="1400"/>
      <c r="AO11" s="1400"/>
      <c r="AP11" s="1400"/>
      <c r="AQ11" s="1400"/>
      <c r="AR11" s="1400"/>
      <c r="AS11" s="1400"/>
      <c r="AT11" s="1400"/>
      <c r="AU11" s="1503"/>
      <c r="AV11" s="1400"/>
      <c r="AW11" s="1503"/>
      <c r="AX11" s="1400"/>
      <c r="AY11" s="1400"/>
      <c r="AZ11" s="1400"/>
      <c r="BA11" s="1400"/>
      <c r="BB11" s="1404"/>
      <c r="BC11" s="2261"/>
      <c r="BE11" s="507"/>
      <c r="BF11" s="507"/>
      <c r="BG11" s="507"/>
      <c r="BH11" s="507"/>
      <c r="BI11" s="1162">
        <v>0</v>
      </c>
    </row>
    <row customHeight="1" ht="11.25" hidden="1">
      <c r="A12" s="1370"/>
      <c r="B12" s="1370"/>
      <c r="C12" s="1370"/>
      <c r="D12" s="1370"/>
      <c r="E12" s="2266"/>
      <c r="F12" s="2266"/>
      <c r="G12" s="2266"/>
      <c r="H12" s="2266"/>
      <c r="I12" s="2293"/>
      <c r="J12" s="2293"/>
      <c r="K12" s="2263"/>
      <c r="L12" s="1371"/>
      <c r="P12" s="2264"/>
      <c r="Q12" s="2264"/>
      <c r="R12" s="2354"/>
      <c r="S12" s="2350"/>
      <c r="T12" s="2369"/>
      <c r="U12" s="307"/>
      <c r="V12" s="1400"/>
      <c r="W12" s="1401" t="str">
        <f>Z8&amp;"-"&amp;AB8</f>
        <v>-</v>
      </c>
      <c r="X12" s="1400"/>
      <c r="Y12" s="1401" t="str">
        <f>AB8&amp;"-"&amp;AD8</f>
        <v>-да</v>
      </c>
      <c r="Z12" s="1400"/>
      <c r="AA12" s="1400"/>
      <c r="AB12" s="1400"/>
      <c r="AC12" s="1400"/>
      <c r="AD12" s="2119"/>
      <c r="AE12" s="319"/>
      <c r="AF12" s="321"/>
      <c r="AG12" s="423" t="s">
        <v>667</v>
      </c>
      <c r="AH12" s="1400"/>
      <c r="AI12" s="1400"/>
      <c r="AJ12" s="1400"/>
      <c r="AK12" s="1400"/>
      <c r="AL12" s="1400"/>
      <c r="AM12" s="1400"/>
      <c r="AN12" s="1400"/>
      <c r="AO12" s="1400"/>
      <c r="AP12" s="1400"/>
      <c r="AQ12" s="1400"/>
      <c r="AR12" s="1400"/>
      <c r="AS12" s="1400"/>
      <c r="AT12" s="1400"/>
      <c r="AU12" s="1401" t="str">
        <f>AX8&amp;"-"&amp;AZ8</f>
        <v>-</v>
      </c>
      <c r="AV12" s="1400"/>
      <c r="AW12" s="1401" t="str">
        <f>AZ8&amp;"-"&amp;BB8</f>
        <v>-</v>
      </c>
      <c r="AX12" s="1400"/>
      <c r="AY12" s="1400"/>
      <c r="AZ12" s="1400"/>
      <c r="BA12" s="1400"/>
      <c r="BB12" s="1403" t="str">
        <f>BE8&amp;"-"&amp;BG8</f>
        <v>-</v>
      </c>
      <c r="BC12" s="2261"/>
      <c r="BE12" s="507"/>
      <c r="BF12" s="507" t="str">
        <f>IF(T12="","",T12)</f>
        <v/>
      </c>
      <c r="BG12" s="507"/>
      <c r="BH12" s="507"/>
      <c r="BI12" s="1162">
        <v>0</v>
      </c>
    </row>
    <row customHeight="1" ht="11.25" hidden="1">
      <c r="A13" s="1370"/>
      <c r="B13" s="1370"/>
      <c r="C13" s="1370"/>
      <c r="D13" s="1370"/>
      <c r="E13" s="2266"/>
      <c r="F13" s="2266"/>
      <c r="G13" s="2266"/>
      <c r="H13" s="2266"/>
      <c r="I13" s="2293"/>
      <c r="J13" s="2263"/>
      <c r="K13" s="1370"/>
      <c r="L13" s="1371"/>
      <c r="P13" s="2264"/>
      <c r="Q13" s="2264"/>
      <c r="R13" s="363"/>
      <c r="S13" s="1285"/>
      <c r="T13" s="294" t="s">
        <v>628</v>
      </c>
      <c r="U13" s="374"/>
      <c r="V13" s="374"/>
      <c r="W13" s="374"/>
      <c r="X13" s="374"/>
      <c r="Y13" s="374"/>
      <c r="Z13" s="374"/>
      <c r="AA13" s="374"/>
      <c r="AB13" s="374"/>
      <c r="AC13" s="374"/>
      <c r="AD13" s="1512"/>
      <c r="AE13" s="374"/>
      <c r="AF13" s="374"/>
      <c r="AG13" s="374"/>
      <c r="AH13" s="374"/>
      <c r="AI13" s="374"/>
      <c r="AJ13" s="374"/>
      <c r="AK13" s="374"/>
      <c r="AL13" s="374"/>
      <c r="AM13" s="374"/>
      <c r="AN13" s="374"/>
      <c r="AO13" s="374"/>
      <c r="AP13" s="374"/>
      <c r="AQ13" s="374"/>
      <c r="AR13" s="374"/>
      <c r="AS13" s="374"/>
      <c r="AT13" s="374"/>
      <c r="AU13" s="374"/>
      <c r="AV13" s="374"/>
      <c r="AW13" s="374"/>
      <c r="AX13" s="374"/>
      <c r="AY13" s="374"/>
      <c r="AZ13" s="374"/>
      <c r="BA13" s="374"/>
      <c r="BB13" s="331"/>
      <c r="BC13" s="2262"/>
      <c r="BE13" s="507"/>
      <c r="BF13" s="507" t="str">
        <f>IF(T13="","",T13)</f>
        <v>Добавить строку</v>
      </c>
      <c r="BG13" s="507"/>
      <c r="BH13" s="507"/>
      <c r="BI13" s="1162">
        <v>0</v>
      </c>
    </row>
    <row s="1649" customFormat="1" customHeight="1" ht="14.25" hidden="1">
      <c r="A14" s="1350"/>
      <c r="B14" s="1350"/>
      <c r="C14" s="1350"/>
      <c r="D14" s="1350"/>
      <c r="E14" s="2266"/>
      <c r="F14" s="2266"/>
      <c r="G14" s="2266"/>
      <c r="H14" s="2266"/>
      <c r="I14" s="2263"/>
      <c r="J14" s="1350"/>
      <c r="K14" s="1350"/>
      <c r="L14" s="1353"/>
      <c r="M14" s="517"/>
      <c r="N14" s="517"/>
      <c r="O14" s="517"/>
      <c r="P14" s="2264"/>
      <c r="Q14" s="1469"/>
      <c r="R14" s="363"/>
      <c r="S14" s="1393"/>
      <c r="T14" s="1394"/>
      <c r="U14" s="1395"/>
      <c r="V14" s="1395"/>
      <c r="W14" s="1395"/>
      <c r="X14" s="1395"/>
      <c r="Y14" s="1395"/>
      <c r="Z14" s="1395"/>
      <c r="AA14" s="1395"/>
      <c r="AB14" s="1395"/>
      <c r="AC14" s="1395"/>
      <c r="AD14" s="1395"/>
      <c r="AE14" s="1395"/>
      <c r="AF14" s="1395"/>
      <c r="AG14" s="1395"/>
      <c r="AH14" s="1395"/>
      <c r="AI14" s="1395"/>
      <c r="AJ14" s="1395"/>
      <c r="AK14" s="1395"/>
      <c r="AL14" s="1395"/>
      <c r="AM14" s="1395"/>
      <c r="AN14" s="1395"/>
      <c r="AO14" s="1395"/>
      <c r="AP14" s="1395"/>
      <c r="AQ14" s="1395"/>
      <c r="AR14" s="1395"/>
      <c r="AS14" s="1395"/>
      <c r="AT14" s="1395"/>
      <c r="AU14" s="1395"/>
      <c r="AV14" s="1395"/>
      <c r="AW14" s="1395"/>
      <c r="AX14" s="1395"/>
      <c r="AY14" s="1395"/>
      <c r="AZ14" s="1395"/>
      <c r="BA14" s="1395"/>
      <c r="BB14" s="1395"/>
      <c r="BC14" s="1396"/>
      <c r="BE14" s="507"/>
      <c r="BF14" s="507" t="str">
        <f>IF(T14="","",T14)</f>
        <v/>
      </c>
      <c r="BG14" s="507"/>
      <c r="BH14" s="507"/>
      <c r="BI14" s="518">
        <v>0</v>
      </c>
    </row>
    <row s="1649" customFormat="1" customHeight="1" ht="14.25" hidden="1">
      <c r="A15" s="1350"/>
      <c r="B15" s="1350"/>
      <c r="C15" s="1350"/>
      <c r="D15" s="1350"/>
      <c r="E15" s="2266"/>
      <c r="F15" s="2266"/>
      <c r="G15" s="2266"/>
      <c r="H15" s="2265"/>
      <c r="I15" s="1350"/>
      <c r="J15" s="1350"/>
      <c r="K15" s="1350"/>
      <c r="L15" s="1353"/>
      <c r="M15" s="1322"/>
      <c r="N15" s="1322"/>
      <c r="O15" s="525"/>
      <c r="P15" s="387"/>
      <c r="Q15" s="1351"/>
      <c r="R15" s="1408"/>
      <c r="S15" s="1393"/>
      <c r="T15" s="1394"/>
      <c r="U15" s="1395"/>
      <c r="V15" s="1395"/>
      <c r="W15" s="1395"/>
      <c r="X15" s="1395"/>
      <c r="Y15" s="1395"/>
      <c r="Z15" s="1395"/>
      <c r="AA15" s="1395"/>
      <c r="AB15" s="1395"/>
      <c r="AC15" s="1395"/>
      <c r="AD15" s="1395"/>
      <c r="AE15" s="1395"/>
      <c r="AF15" s="1395"/>
      <c r="AG15" s="1395"/>
      <c r="AH15" s="1395"/>
      <c r="AI15" s="1395"/>
      <c r="AJ15" s="1395"/>
      <c r="AK15" s="1395"/>
      <c r="AL15" s="1395"/>
      <c r="AM15" s="1395"/>
      <c r="AN15" s="1395"/>
      <c r="AO15" s="1395"/>
      <c r="AP15" s="1395"/>
      <c r="AQ15" s="1395"/>
      <c r="AR15" s="1395"/>
      <c r="AS15" s="1395"/>
      <c r="AT15" s="1395"/>
      <c r="AU15" s="1395"/>
      <c r="AV15" s="1395"/>
      <c r="AW15" s="1395"/>
      <c r="AX15" s="1395"/>
      <c r="AY15" s="1395"/>
      <c r="AZ15" s="1395"/>
      <c r="BA15" s="1395"/>
      <c r="BB15" s="1395"/>
      <c r="BC15" s="1396"/>
      <c r="BE15" s="507"/>
      <c r="BF15" s="507" t="str">
        <f>IF(T15="","",T15)</f>
        <v/>
      </c>
      <c r="BG15" s="507"/>
      <c r="BH15" s="507"/>
      <c r="BI15" s="518">
        <v>0</v>
      </c>
    </row>
    <row s="1649" customFormat="1" customHeight="1" ht="14.25" hidden="1">
      <c r="A16" s="1350"/>
      <c r="B16" s="1350"/>
      <c r="C16" s="1350"/>
      <c r="D16" s="1321"/>
      <c r="E16" s="2266"/>
      <c r="F16" s="2266"/>
      <c r="G16" s="2265"/>
      <c r="H16" s="1321"/>
      <c r="I16" s="1321"/>
      <c r="J16" s="1321"/>
      <c r="K16" s="1321"/>
      <c r="L16" s="1471"/>
      <c r="M16" s="1322"/>
      <c r="N16" s="1322"/>
      <c r="P16" s="1323"/>
      <c r="Q16" s="1324"/>
      <c r="R16" s="1323"/>
      <c r="S16" s="1329"/>
      <c r="T16" s="1332"/>
      <c r="U16" s="1331"/>
      <c r="V16" s="1331"/>
      <c r="W16" s="1331"/>
      <c r="X16" s="1331"/>
      <c r="Y16" s="1331"/>
      <c r="Z16" s="1331"/>
      <c r="AA16" s="1331"/>
      <c r="AB16" s="1331"/>
      <c r="AC16" s="1331"/>
      <c r="AD16" s="1331"/>
      <c r="AE16" s="1331"/>
      <c r="AF16" s="1331"/>
      <c r="AG16" s="1331"/>
      <c r="AH16" s="1331"/>
      <c r="AI16" s="1331"/>
      <c r="AJ16" s="1331"/>
      <c r="AK16" s="1331"/>
      <c r="AL16" s="1331"/>
      <c r="AM16" s="1331"/>
      <c r="AN16" s="1331"/>
      <c r="AO16" s="1331"/>
      <c r="AP16" s="1331"/>
      <c r="AQ16" s="1331"/>
      <c r="AR16" s="1331"/>
      <c r="AS16" s="1331"/>
      <c r="AT16" s="1331"/>
      <c r="AU16" s="1331"/>
      <c r="AV16" s="1331"/>
      <c r="AW16" s="1331"/>
      <c r="AX16" s="1331"/>
      <c r="AY16" s="1331"/>
      <c r="AZ16" s="1331"/>
      <c r="BA16" s="1331"/>
      <c r="BB16" s="1331"/>
      <c r="BC16" s="1331"/>
      <c r="BE16" s="796"/>
      <c r="BF16" s="796" t="str">
        <f>IF(T16="","",T16)</f>
        <v/>
      </c>
      <c r="BG16" s="796"/>
      <c r="BH16" s="796"/>
      <c r="BI16" s="525">
        <v>0</v>
      </c>
    </row>
    <row s="1649" customFormat="1" customHeight="1" ht="14.25" hidden="1">
      <c r="A17" s="1350"/>
      <c r="B17" s="1350"/>
      <c r="C17" s="1321"/>
      <c r="D17" s="1321"/>
      <c r="E17" s="2266"/>
      <c r="F17" s="2265"/>
      <c r="G17" s="1321"/>
      <c r="H17" s="1321"/>
      <c r="I17" s="1321"/>
      <c r="J17" s="1321"/>
      <c r="K17" s="1321"/>
      <c r="L17" s="1471"/>
      <c r="M17" s="1328"/>
      <c r="N17" s="1328"/>
      <c r="P17" s="1323"/>
      <c r="Q17" s="1324"/>
      <c r="R17" s="1323"/>
      <c r="S17" s="1329"/>
      <c r="T17" s="1332" t="s">
        <v>316</v>
      </c>
      <c r="U17" s="1331"/>
      <c r="V17" s="1331"/>
      <c r="W17" s="1331"/>
      <c r="X17" s="1331"/>
      <c r="Y17" s="1331"/>
      <c r="Z17" s="1331"/>
      <c r="AA17" s="1331"/>
      <c r="AB17" s="1331"/>
      <c r="AC17" s="1331"/>
      <c r="AD17" s="1331"/>
      <c r="AE17" s="1331"/>
      <c r="AF17" s="1331"/>
      <c r="AG17" s="1331"/>
      <c r="AH17" s="1331"/>
      <c r="AI17" s="1331"/>
      <c r="AJ17" s="1331"/>
      <c r="AK17" s="1331"/>
      <c r="AL17" s="1331"/>
      <c r="AM17" s="1331"/>
      <c r="AN17" s="1331"/>
      <c r="AO17" s="1331"/>
      <c r="AP17" s="1331"/>
      <c r="AQ17" s="1331"/>
      <c r="AR17" s="1331"/>
      <c r="AS17" s="1331"/>
      <c r="AT17" s="1331"/>
      <c r="AU17" s="1331"/>
      <c r="AV17" s="1331"/>
      <c r="AW17" s="1331"/>
      <c r="AX17" s="1331"/>
      <c r="AY17" s="1331"/>
      <c r="AZ17" s="1331"/>
      <c r="BA17" s="1331"/>
      <c r="BB17" s="1331"/>
      <c r="BC17" s="1331"/>
      <c r="BE17" s="796"/>
      <c r="BF17" s="796" t="str">
        <f>IF(T17="","",T17)</f>
        <v>Добавить централизованную систему для дифференциации</v>
      </c>
      <c r="BG17" s="796"/>
      <c r="BH17" s="796"/>
      <c r="BI17" s="525">
        <v>0</v>
      </c>
    </row>
    <row s="1649" customFormat="1" customHeight="1" ht="14.25" hidden="1">
      <c r="A18" s="1350"/>
      <c r="B18" s="1350"/>
      <c r="C18" s="1350"/>
      <c r="D18" s="1350"/>
      <c r="E18" s="2265"/>
      <c r="F18" s="1350"/>
      <c r="G18" s="1350"/>
      <c r="H18" s="1350"/>
      <c r="I18" s="1350"/>
      <c r="J18" s="1350"/>
      <c r="K18" s="1350"/>
      <c r="L18" s="1353"/>
      <c r="M18" s="1328"/>
      <c r="N18" s="1328"/>
      <c r="O18" s="525"/>
      <c r="P18" s="387"/>
      <c r="Q18" s="1351"/>
      <c r="R18" s="387"/>
      <c r="S18" s="1329"/>
      <c r="T18" s="1332" t="s">
        <v>390</v>
      </c>
      <c r="U18" s="1331"/>
      <c r="V18" s="1331"/>
      <c r="W18" s="1331"/>
      <c r="X18" s="1331"/>
      <c r="Y18" s="1331"/>
      <c r="Z18" s="1331"/>
      <c r="AA18" s="1331"/>
      <c r="AB18" s="1331"/>
      <c r="AC18" s="1331"/>
      <c r="AD18" s="1331"/>
      <c r="AE18" s="1331"/>
      <c r="AF18" s="1331"/>
      <c r="AG18" s="1331"/>
      <c r="AH18" s="1331"/>
      <c r="AI18" s="1331"/>
      <c r="AJ18" s="1331"/>
      <c r="AK18" s="1331"/>
      <c r="AL18" s="1331"/>
      <c r="AM18" s="1331"/>
      <c r="AN18" s="1331"/>
      <c r="AO18" s="1331"/>
      <c r="AP18" s="1331"/>
      <c r="AQ18" s="1331"/>
      <c r="AR18" s="1331"/>
      <c r="AS18" s="1331"/>
      <c r="AT18" s="1331"/>
      <c r="AU18" s="1331"/>
      <c r="AV18" s="1331"/>
      <c r="AW18" s="1331"/>
      <c r="AX18" s="1331"/>
      <c r="AY18" s="1331"/>
      <c r="AZ18" s="1331"/>
      <c r="BA18" s="1331"/>
      <c r="BB18" s="1331"/>
      <c r="BC18" s="1331"/>
      <c r="BE18" s="507"/>
      <c r="BF18" s="507" t="str">
        <f>IF(T18="","",T18)</f>
        <v>Добавить территорию для дифференциации</v>
      </c>
      <c r="BG18" s="507"/>
      <c r="BH18" s="507"/>
      <c r="BI18" s="518">
        <v>0</v>
      </c>
    </row>
    <row customHeight="1" ht="14.25" hidden="1">
      <c r="AC19" s="334"/>
      <c r="BA19" s="334"/>
      <c r="BI19" s="1162">
        <v>0</v>
      </c>
    </row>
    <row customHeight="1" ht="14.25" hidden="1">
      <c r="AD20" s="1331" t="s">
        <v>19</v>
      </c>
      <c r="AE20" s="1508"/>
      <c r="AF20" s="555">
        <v>1</v>
      </c>
      <c r="AG20" s="1509"/>
      <c r="AH20" s="1331" t="s">
        <v>19</v>
      </c>
      <c r="AI20" s="1508"/>
      <c r="AJ20" s="555">
        <v>1</v>
      </c>
      <c r="AK20" s="1509"/>
      <c r="AL20" s="1331" t="s">
        <v>19</v>
      </c>
      <c r="AM20" s="1510"/>
      <c r="AN20" s="555">
        <v>1</v>
      </c>
      <c r="AO20" s="1511"/>
      <c r="AP20" s="1331" t="s">
        <v>19</v>
      </c>
      <c r="AQ20" s="1510"/>
      <c r="AR20" s="555">
        <v>1</v>
      </c>
      <c r="AS20" s="1511"/>
      <c r="AT20" s="332"/>
      <c r="AU20" s="391"/>
      <c r="AV20" s="332"/>
      <c r="AW20" s="391"/>
      <c r="AX20" s="1743"/>
      <c r="AY20" s="1467" t="s">
        <v>66</v>
      </c>
      <c r="AZ20" s="1743"/>
      <c r="BA20" s="1467" t="s">
        <v>66</v>
      </c>
      <c r="BI20" s="1162">
        <v>0</v>
      </c>
    </row>
    <row customHeight="1" ht="14.25" hidden="1">
      <c r="BD21" s="503"/>
      <c r="BE21" s="503"/>
      <c r="BF21" s="503"/>
      <c r="BG21" s="503"/>
      <c r="BH21" s="503"/>
      <c r="BI21" s="1162">
        <v>0</v>
      </c>
    </row>
    <row customHeight="1" ht="14.25" hidden="1">
      <c r="O22" s="1374" t="s">
        <v>578</v>
      </c>
      <c r="Z22" s="1352"/>
      <c r="AB22" s="1352"/>
      <c r="AC22" s="334"/>
      <c r="AX22" s="1352"/>
      <c r="AZ22" s="1352"/>
      <c r="BA22" s="334"/>
      <c r="BD22" s="503"/>
      <c r="BE22" s="503"/>
      <c r="BF22" s="503"/>
      <c r="BG22" s="503"/>
      <c r="BH22" s="503"/>
      <c r="BI22" s="1162">
        <v>0</v>
      </c>
    </row>
    <row customHeight="1" ht="14.25" hidden="1">
      <c r="AC23" s="334"/>
      <c r="BA23" s="334"/>
      <c r="BD23" s="503"/>
      <c r="BE23" s="503"/>
      <c r="BF23" s="503"/>
      <c r="BG23" s="503"/>
      <c r="BH23" s="503"/>
      <c r="BI23" s="1162">
        <v>0</v>
      </c>
    </row>
    <row s="1516" customFormat="1" customHeight="1" ht="14.25" hidden="1">
      <c r="M24" s="1515"/>
      <c r="N24" s="1515"/>
      <c r="O24" s="1516" t="s">
        <v>579</v>
      </c>
      <c r="P24" s="1515"/>
      <c r="Q24" s="1517"/>
      <c r="R24" s="1517"/>
      <c r="AA24" s="1514" t="s">
        <v>581</v>
      </c>
      <c r="AC24" s="1514" t="s">
        <v>582</v>
      </c>
      <c r="AD24" s="1514" t="s">
        <v>629</v>
      </c>
      <c r="AH24" s="1514" t="s">
        <v>629</v>
      </c>
      <c r="AK24" s="1514" t="s">
        <v>668</v>
      </c>
      <c r="AL24" s="1514" t="s">
        <v>629</v>
      </c>
      <c r="AP24" s="1514" t="s">
        <v>629</v>
      </c>
      <c r="AY24" s="1514" t="s">
        <v>581</v>
      </c>
      <c r="BA24" s="1514" t="s">
        <v>582</v>
      </c>
      <c r="BD24" s="1518"/>
      <c r="BE24" s="1518"/>
      <c r="BF24" s="1518"/>
      <c r="BG24" s="1518"/>
      <c r="BH24" s="1518"/>
      <c r="BI24" s="1514">
        <v>0</v>
      </c>
    </row>
    <row customHeight="1" ht="14.25" hidden="1">
      <c r="O25" s="1371"/>
      <c r="BD25" s="503"/>
      <c r="BE25" s="503"/>
      <c r="BF25" s="503"/>
      <c r="BG25" s="503"/>
      <c r="BH25" s="503"/>
      <c r="BI25" s="1162">
        <v>0</v>
      </c>
    </row>
    <row customHeight="1" ht="14.25" hidden="1">
      <c r="O26" s="1371"/>
      <c r="BD26" s="503"/>
      <c r="BE26" s="503"/>
      <c r="BF26" s="503"/>
      <c r="BG26" s="503"/>
      <c r="BH26" s="503"/>
      <c r="BI26" s="1162">
        <v>0</v>
      </c>
    </row>
    <row customHeight="1" ht="14.699999999999998">
      <c r="Q27" s="298"/>
      <c r="R27" s="383"/>
      <c r="S27" s="1282"/>
      <c r="T27" s="370"/>
      <c r="U27" s="370"/>
      <c r="V27" s="516"/>
      <c r="W27" s="516"/>
      <c r="X27" s="516"/>
      <c r="Y27" s="516"/>
      <c r="Z27" s="516"/>
      <c r="AA27" s="516"/>
      <c r="AB27" s="516"/>
      <c r="AC27" s="516"/>
      <c r="AD27" s="516"/>
      <c r="AE27" s="516"/>
      <c r="AF27" s="516"/>
      <c r="AG27" s="516"/>
      <c r="AH27" s="516"/>
      <c r="AI27" s="516"/>
      <c r="AJ27" s="516"/>
      <c r="AK27" s="516"/>
      <c r="AL27" s="516"/>
      <c r="AM27" s="516"/>
      <c r="AN27" s="516"/>
      <c r="AO27" s="516"/>
      <c r="AP27" s="516"/>
      <c r="AQ27" s="516"/>
      <c r="AR27" s="516"/>
      <c r="AS27" s="516"/>
      <c r="AT27" s="516"/>
      <c r="AU27" s="516"/>
      <c r="AV27" s="516"/>
      <c r="AW27" s="516"/>
      <c r="AX27" s="516"/>
      <c r="AY27" s="516"/>
      <c r="AZ27" s="516"/>
      <c r="BA27" s="516"/>
      <c r="BI27" s="1162">
        <v>14</v>
      </c>
    </row>
    <row customHeight="1" ht="14.699999999999998">
      <c r="Q28" s="298"/>
      <c r="R28" s="383"/>
      <c r="S28" s="2255"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5"/>
      <c r="U28" s="2255"/>
      <c r="V28" s="2255"/>
      <c r="W28" s="2255"/>
      <c r="X28" s="2255"/>
      <c r="Y28" s="2255"/>
      <c r="Z28" s="2255"/>
      <c r="AA28" s="2255"/>
      <c r="AB28" s="2255"/>
      <c r="AC28" s="2255"/>
      <c r="AD28" s="2255"/>
      <c r="AE28" s="2255"/>
      <c r="AF28" s="2255"/>
      <c r="AG28" s="2255"/>
      <c r="AH28" s="2255"/>
      <c r="AI28" s="2255"/>
      <c r="AJ28" s="2255"/>
      <c r="AK28" s="2255"/>
      <c r="AL28" s="2255"/>
      <c r="AM28" s="2255"/>
      <c r="AN28" s="2255"/>
      <c r="AO28" s="2255"/>
      <c r="AP28" s="2255"/>
      <c r="AQ28" s="2255"/>
      <c r="AR28" s="2255"/>
      <c r="AS28" s="2255"/>
      <c r="AT28" s="2255"/>
      <c r="AU28" s="2255"/>
      <c r="AV28" s="2255"/>
      <c r="AW28" s="2255"/>
      <c r="AX28" s="2255"/>
      <c r="AY28" s="2255"/>
      <c r="AZ28" s="2255"/>
      <c r="BA28" s="1250"/>
      <c r="BI28" s="1162">
        <v>14</v>
      </c>
    </row>
    <row customHeight="1" ht="14.699999999999998">
      <c r="Q29" s="298"/>
      <c r="R29" s="383"/>
      <c r="S29" s="2256" t="str">
        <f>IF(org=0,"Не определено",org)</f>
        <v>ГУП "Белоблводоканал"</v>
      </c>
      <c r="T29" s="2256"/>
      <c r="U29" s="2256"/>
      <c r="V29" s="2256"/>
      <c r="W29" s="2256"/>
      <c r="X29" s="2256"/>
      <c r="Y29" s="2256"/>
      <c r="Z29" s="2256"/>
      <c r="AA29" s="2256"/>
      <c r="AB29" s="2256"/>
      <c r="AC29" s="2256"/>
      <c r="AD29" s="2256"/>
      <c r="AE29" s="2256"/>
      <c r="AF29" s="2256"/>
      <c r="AG29" s="2256"/>
      <c r="AH29" s="2256"/>
      <c r="AI29" s="2256"/>
      <c r="AJ29" s="2256"/>
      <c r="AK29" s="2256"/>
      <c r="AL29" s="2256"/>
      <c r="AM29" s="2256"/>
      <c r="AN29" s="2256"/>
      <c r="AO29" s="2256"/>
      <c r="AP29" s="2256"/>
      <c r="AQ29" s="2256"/>
      <c r="AR29" s="2256"/>
      <c r="AS29" s="2256"/>
      <c r="AT29" s="2256"/>
      <c r="AU29" s="2256"/>
      <c r="AV29" s="2256"/>
      <c r="AW29" s="2256"/>
      <c r="AX29" s="2256"/>
      <c r="AY29" s="2256"/>
      <c r="AZ29" s="2256"/>
      <c r="BA29" s="1250"/>
      <c r="BI29" s="1162">
        <v>14</v>
      </c>
    </row>
    <row customHeight="1" ht="14.25" hidden="1">
      <c r="Q30" s="298"/>
      <c r="R30" s="383"/>
      <c r="S30" s="1282"/>
      <c r="T30" s="370"/>
      <c r="U30" s="370"/>
      <c r="V30" s="329"/>
      <c r="W30" s="329"/>
      <c r="X30" s="329"/>
      <c r="Y30" s="329"/>
      <c r="Z30" s="329"/>
      <c r="AA30" s="329"/>
      <c r="AB30" s="329"/>
      <c r="AC30" s="329"/>
      <c r="AD30" s="329"/>
      <c r="AE30" s="329"/>
      <c r="AF30" s="329"/>
      <c r="AG30" s="329"/>
      <c r="AH30" s="329"/>
      <c r="AI30" s="329"/>
      <c r="AJ30" s="329"/>
      <c r="AK30" s="329"/>
      <c r="AL30" s="329"/>
      <c r="AM30" s="329"/>
      <c r="AN30" s="329"/>
      <c r="AO30" s="329"/>
      <c r="AP30" s="329"/>
      <c r="AQ30" s="329"/>
      <c r="AR30" s="329"/>
      <c r="AS30" s="329"/>
      <c r="AT30" s="329"/>
      <c r="AU30" s="329"/>
      <c r="AV30" s="329"/>
      <c r="AW30" s="329"/>
      <c r="AX30" s="329"/>
      <c r="AY30" s="329"/>
      <c r="AZ30" s="329"/>
      <c r="BA30" s="329"/>
      <c r="BB30" s="516"/>
      <c r="BI30" s="1162">
        <v>0</v>
      </c>
    </row>
    <row s="1860" customFormat="1" customHeight="1" ht="25.5" hidden="1">
      <c r="A31" s="1375"/>
      <c r="B31" s="1375"/>
      <c r="C31" s="1375"/>
      <c r="D31" s="1375"/>
      <c r="E31" s="1375"/>
      <c r="F31" s="1375"/>
      <c r="G31" s="1375"/>
      <c r="H31" s="1375"/>
      <c r="I31" s="1375"/>
      <c r="J31" s="1375"/>
      <c r="K31" s="1375"/>
      <c r="L31" s="1376"/>
      <c r="M31" s="1375"/>
      <c r="N31" s="1375"/>
      <c r="O31" s="1375"/>
      <c r="P31" s="1375"/>
      <c r="Q31" s="1375"/>
      <c r="S31" s="2257" t="s">
        <v>42</v>
      </c>
      <c r="T31" s="2257"/>
      <c r="U31" s="1379"/>
      <c r="V31" s="2258" t="str">
        <f>IF(TITLE_NAME_OR_PR_CHANGE="",IF(TITLE_NAME_OR_PR="","",TITLE_NAME_OR_PR),TITLE_NAME_OR_PR_CHANGE)</f>
        <v/>
      </c>
      <c r="W31" s="2258"/>
      <c r="X31" s="2258"/>
      <c r="Y31" s="2258"/>
      <c r="Z31" s="2258"/>
      <c r="AA31" s="2258"/>
      <c r="AB31" s="2258"/>
      <c r="AC31" s="333"/>
      <c r="AD31" s="2258" t="str">
        <f>IF(TITLE_NAME_OR_PR_CHANGE="",IF(TITLE_NAME_OR_PR="","",TITLE_NAME_OR_PR),TITLE_NAME_OR_PR_CHANGE)</f>
        <v/>
      </c>
      <c r="AE31" s="2258"/>
      <c r="AF31" s="2258"/>
      <c r="AG31" s="2258"/>
      <c r="AH31" s="2258"/>
      <c r="AI31" s="2258"/>
      <c r="AJ31" s="2258"/>
      <c r="AK31" s="2258"/>
      <c r="AL31" s="2258"/>
      <c r="AM31" s="2258"/>
      <c r="AN31" s="2258"/>
      <c r="AO31" s="2258"/>
      <c r="AP31" s="2258"/>
      <c r="AQ31" s="2258"/>
      <c r="AR31" s="2258"/>
      <c r="AS31" s="2258"/>
      <c r="AT31" s="2258"/>
      <c r="AU31" s="2258"/>
      <c r="AV31" s="2258"/>
      <c r="AW31" s="2258"/>
      <c r="AX31" s="2258"/>
      <c r="AY31" s="2258"/>
      <c r="AZ31" s="2258"/>
      <c r="BA31" s="333"/>
      <c r="BB31" s="333"/>
      <c r="BC31" s="287"/>
      <c r="BD31" s="375"/>
      <c r="BE31" s="375"/>
      <c r="BF31" s="375"/>
      <c r="BG31" s="375"/>
      <c r="BH31" s="375"/>
      <c r="BI31" s="425">
        <v>0</v>
      </c>
    </row>
    <row s="1860" customFormat="1" customHeight="1" ht="18.75" hidden="1">
      <c r="A32" s="1375"/>
      <c r="B32" s="1375"/>
      <c r="C32" s="1375"/>
      <c r="D32" s="1375"/>
      <c r="E32" s="1375"/>
      <c r="F32" s="1375"/>
      <c r="G32" s="1375"/>
      <c r="H32" s="1375"/>
      <c r="I32" s="1375"/>
      <c r="J32" s="1375"/>
      <c r="K32" s="1375"/>
      <c r="L32" s="1376"/>
      <c r="M32" s="1375"/>
      <c r="N32" s="1375"/>
      <c r="O32" s="1375"/>
      <c r="P32" s="1375"/>
      <c r="Q32" s="1375"/>
      <c r="S32" s="2257" t="s">
        <v>584</v>
      </c>
      <c r="T32" s="2257"/>
      <c r="U32" s="1379"/>
      <c r="V32" s="2271" t="str">
        <f>IF(TITLE_DATE_PR_CHANGE="",IF(TITLE_DATE_PR="","",TITLE_DATE_PR),TITLE_DATE_PR_CHANGE)</f>
        <v>45432</v>
      </c>
      <c r="W32" s="2271"/>
      <c r="X32" s="2271"/>
      <c r="Y32" s="2271"/>
      <c r="Z32" s="2271"/>
      <c r="AA32" s="2271"/>
      <c r="AB32" s="2271"/>
      <c r="AC32" s="333"/>
      <c r="AD32" s="2271" t="str">
        <f>IF(TITLE_DATE_PR_CHANGE="",IF(TITLE_DATE_PR="","",TITLE_DATE_PR),TITLE_DATE_PR_CHANGE)</f>
        <v>45432</v>
      </c>
      <c r="AE32" s="2271"/>
      <c r="AF32" s="2271"/>
      <c r="AG32" s="2271"/>
      <c r="AH32" s="2271"/>
      <c r="AI32" s="2271"/>
      <c r="AJ32" s="2271"/>
      <c r="AK32" s="2271"/>
      <c r="AL32" s="2271"/>
      <c r="AM32" s="2271"/>
      <c r="AN32" s="2271"/>
      <c r="AO32" s="2271"/>
      <c r="AP32" s="2271"/>
      <c r="AQ32" s="2271"/>
      <c r="AR32" s="2271"/>
      <c r="AS32" s="2271"/>
      <c r="AT32" s="2271"/>
      <c r="AU32" s="2271"/>
      <c r="AV32" s="2271"/>
      <c r="AW32" s="2271"/>
      <c r="AX32" s="2271"/>
      <c r="AY32" s="2271"/>
      <c r="AZ32" s="2271"/>
      <c r="BA32" s="333"/>
      <c r="BB32" s="333"/>
      <c r="BC32" s="287"/>
      <c r="BD32" s="375"/>
      <c r="BE32" s="375"/>
      <c r="BF32" s="375"/>
      <c r="BG32" s="375"/>
      <c r="BH32" s="375"/>
      <c r="BI32" s="425">
        <v>0</v>
      </c>
    </row>
    <row s="1860" customFormat="1" customHeight="1" ht="18.75" hidden="1">
      <c r="A33" s="1375"/>
      <c r="B33" s="1375"/>
      <c r="C33" s="1375"/>
      <c r="D33" s="1375"/>
      <c r="E33" s="1375"/>
      <c r="F33" s="1375"/>
      <c r="G33" s="1375"/>
      <c r="H33" s="1375"/>
      <c r="I33" s="1375"/>
      <c r="J33" s="1375"/>
      <c r="K33" s="1375"/>
      <c r="L33" s="1376"/>
      <c r="M33" s="1375"/>
      <c r="N33" s="1375"/>
      <c r="O33" s="1375"/>
      <c r="P33" s="1375"/>
      <c r="Q33" s="1375"/>
      <c r="S33" s="2257" t="s">
        <v>585</v>
      </c>
      <c r="T33" s="2257"/>
      <c r="U33" s="1379"/>
      <c r="V33" s="2258" t="str">
        <f>IF(TITLE_NUMBER_PR_CHANGE="",IF(TITLE_NUMBER_PR="","",TITLE_NUMBER_PR),TITLE_NUMBER_PR_CHANGE)</f>
        <v>29-12/1427</v>
      </c>
      <c r="W33" s="2258"/>
      <c r="X33" s="2258"/>
      <c r="Y33" s="2258"/>
      <c r="Z33" s="2258"/>
      <c r="AA33" s="2258"/>
      <c r="AB33" s="2258"/>
      <c r="AC33" s="333"/>
      <c r="AD33" s="2258" t="str">
        <f>IF(TITLE_NUMBER_PR_CHANGE="",IF(TITLE_NUMBER_PR="","",TITLE_NUMBER_PR),TITLE_NUMBER_PR_CHANGE)</f>
        <v>29-12/1427</v>
      </c>
      <c r="AE33" s="2258"/>
      <c r="AF33" s="2258"/>
      <c r="AG33" s="2258"/>
      <c r="AH33" s="2258"/>
      <c r="AI33" s="2258"/>
      <c r="AJ33" s="2258"/>
      <c r="AK33" s="2258"/>
      <c r="AL33" s="2258"/>
      <c r="AM33" s="2258"/>
      <c r="AN33" s="2258"/>
      <c r="AO33" s="2258"/>
      <c r="AP33" s="2258"/>
      <c r="AQ33" s="2258"/>
      <c r="AR33" s="2258"/>
      <c r="AS33" s="2258"/>
      <c r="AT33" s="2258"/>
      <c r="AU33" s="2258"/>
      <c r="AV33" s="2258"/>
      <c r="AW33" s="2258"/>
      <c r="AX33" s="2258"/>
      <c r="AY33" s="2258"/>
      <c r="AZ33" s="2258"/>
      <c r="BA33" s="333"/>
      <c r="BB33" s="333"/>
      <c r="BC33" s="287"/>
      <c r="BD33" s="375"/>
      <c r="BE33" s="375"/>
      <c r="BF33" s="375"/>
      <c r="BG33" s="375"/>
      <c r="BH33" s="375"/>
      <c r="BI33" s="425">
        <v>0</v>
      </c>
    </row>
    <row s="1860" customFormat="1" customHeight="1" ht="18.75" hidden="1">
      <c r="A34" s="1375"/>
      <c r="B34" s="1375"/>
      <c r="C34" s="1375"/>
      <c r="D34" s="1375"/>
      <c r="E34" s="1375"/>
      <c r="F34" s="1375"/>
      <c r="G34" s="1375"/>
      <c r="H34" s="1375"/>
      <c r="I34" s="1375"/>
      <c r="J34" s="1375"/>
      <c r="K34" s="1375"/>
      <c r="L34" s="1376"/>
      <c r="M34" s="1375"/>
      <c r="N34" s="1375"/>
      <c r="O34" s="1375"/>
      <c r="P34" s="1375"/>
      <c r="Q34" s="1375"/>
      <c r="S34" s="2257" t="s">
        <v>43</v>
      </c>
      <c r="T34" s="2257"/>
      <c r="U34" s="1379"/>
      <c r="V34" s="2258" t="str">
        <f>IF(TITLE_IST_PUB_CHANGE="",IF(TITLE_IST_PUB="","",TITLE_IST_PUB),TITLE_IST_PUB_CHANGE)</f>
        <v/>
      </c>
      <c r="W34" s="2258"/>
      <c r="X34" s="2258"/>
      <c r="Y34" s="2258"/>
      <c r="Z34" s="2258"/>
      <c r="AA34" s="2258"/>
      <c r="AB34" s="2258"/>
      <c r="AC34" s="333"/>
      <c r="AD34" s="2258" t="str">
        <f>IF(TITLE_IST_PUB_CHANGE="",IF(TITLE_IST_PUB="","",TITLE_IST_PUB),TITLE_IST_PUB_CHANGE)</f>
        <v/>
      </c>
      <c r="AE34" s="2258"/>
      <c r="AF34" s="2258"/>
      <c r="AG34" s="2258"/>
      <c r="AH34" s="2258"/>
      <c r="AI34" s="2258"/>
      <c r="AJ34" s="2258"/>
      <c r="AK34" s="2258"/>
      <c r="AL34" s="2258"/>
      <c r="AM34" s="2258"/>
      <c r="AN34" s="2258"/>
      <c r="AO34" s="2258"/>
      <c r="AP34" s="2258"/>
      <c r="AQ34" s="2258"/>
      <c r="AR34" s="2258"/>
      <c r="AS34" s="2258"/>
      <c r="AT34" s="2258"/>
      <c r="AU34" s="2258"/>
      <c r="AV34" s="2258"/>
      <c r="AW34" s="2258"/>
      <c r="AX34" s="2258"/>
      <c r="AY34" s="2258"/>
      <c r="AZ34" s="2258"/>
      <c r="BA34" s="333"/>
      <c r="BB34" s="333"/>
      <c r="BC34" s="287"/>
      <c r="BD34" s="375"/>
      <c r="BE34" s="375"/>
      <c r="BF34" s="375"/>
      <c r="BG34" s="375"/>
      <c r="BH34" s="375"/>
      <c r="BI34" s="425">
        <v>0</v>
      </c>
    </row>
    <row customHeight="1" ht="14.25">
      <c r="Q35" s="298"/>
      <c r="R35" s="383"/>
      <c r="S35" s="1282"/>
      <c r="T35" s="370"/>
      <c r="U35" s="370"/>
      <c r="V35" s="329"/>
      <c r="W35" s="329"/>
      <c r="X35" s="329"/>
      <c r="Y35" s="329"/>
      <c r="Z35" s="329"/>
      <c r="AA35" s="329"/>
      <c r="AB35" s="329"/>
      <c r="AC35" s="329"/>
      <c r="AD35" s="329"/>
      <c r="AE35" s="329"/>
      <c r="AF35" s="329"/>
      <c r="AG35" s="329"/>
      <c r="AH35" s="329"/>
      <c r="AI35" s="329"/>
      <c r="AJ35" s="329"/>
      <c r="AK35" s="329"/>
      <c r="AL35" s="329"/>
      <c r="AM35" s="329"/>
      <c r="AN35" s="329"/>
      <c r="AO35" s="329"/>
      <c r="AP35" s="329"/>
      <c r="AQ35" s="329"/>
      <c r="AR35" s="329"/>
      <c r="AS35" s="329"/>
      <c r="AT35" s="329"/>
      <c r="AU35" s="329"/>
      <c r="AV35" s="329"/>
      <c r="AW35" s="329"/>
      <c r="AX35" s="329"/>
      <c r="AY35" s="329"/>
      <c r="AZ35" s="329"/>
      <c r="BA35" s="329"/>
      <c r="BB35" s="516"/>
      <c r="BI35" s="1162">
        <v>0</v>
      </c>
    </row>
    <row s="1860" customFormat="1" customHeight="1" ht="18.75">
      <c r="A36" s="1375"/>
      <c r="B36" s="1375"/>
      <c r="C36" s="1375"/>
      <c r="D36" s="1375"/>
      <c r="E36" s="1375"/>
      <c r="F36" s="1375"/>
      <c r="G36" s="1375"/>
      <c r="H36" s="1375"/>
      <c r="I36" s="1375"/>
      <c r="J36" s="1375"/>
      <c r="K36" s="1375"/>
      <c r="L36" s="1376"/>
      <c r="M36" s="1375"/>
      <c r="N36" s="1375"/>
      <c r="O36" s="1375"/>
      <c r="P36" s="1375"/>
      <c r="Q36" s="1375"/>
      <c r="S36" s="2257" t="s">
        <v>584</v>
      </c>
      <c r="T36" s="2257"/>
      <c r="U36" s="1379"/>
      <c r="V36" s="2271" t="str">
        <f>IF(TITLE_DATE_PR_CHANGE="",IF(TITLE_DATE_PR="","",TITLE_DATE_PR),TITLE_DATE_PR_CHANGE)</f>
        <v>45432</v>
      </c>
      <c r="W36" s="2271"/>
      <c r="X36" s="2271"/>
      <c r="Y36" s="2271"/>
      <c r="Z36" s="2271"/>
      <c r="AA36" s="2271"/>
      <c r="AB36" s="2271"/>
      <c r="AC36" s="333"/>
      <c r="AD36" s="2271" t="str">
        <f>IF(TITLE_DATE_PR_CHANGE="",IF(TITLE_DATE_PR="","",TITLE_DATE_PR),TITLE_DATE_PR_CHANGE)</f>
        <v>45432</v>
      </c>
      <c r="AE36" s="2271"/>
      <c r="AF36" s="2271"/>
      <c r="AG36" s="2271"/>
      <c r="AH36" s="2271"/>
      <c r="AI36" s="2271"/>
      <c r="AJ36" s="2271"/>
      <c r="AK36" s="2271"/>
      <c r="AL36" s="2271"/>
      <c r="AM36" s="2271"/>
      <c r="AN36" s="2271"/>
      <c r="AO36" s="2271"/>
      <c r="AP36" s="2271"/>
      <c r="AQ36" s="2271"/>
      <c r="AR36" s="2271"/>
      <c r="AS36" s="2271"/>
      <c r="AT36" s="2271"/>
      <c r="AU36" s="2271"/>
      <c r="AV36" s="2271"/>
      <c r="AW36" s="2271"/>
      <c r="AX36" s="2271"/>
      <c r="AY36" s="2271"/>
      <c r="AZ36" s="2271"/>
      <c r="BA36" s="333"/>
      <c r="BB36" s="333"/>
      <c r="BC36" s="287"/>
      <c r="BD36" s="375"/>
      <c r="BE36" s="375"/>
      <c r="BF36" s="375"/>
      <c r="BG36" s="375"/>
      <c r="BH36" s="375"/>
      <c r="BI36" s="425">
        <v>0</v>
      </c>
    </row>
    <row s="1860" customFormat="1" customHeight="1" ht="18.75">
      <c r="A37" s="1375"/>
      <c r="B37" s="1375"/>
      <c r="C37" s="1375"/>
      <c r="D37" s="1375"/>
      <c r="E37" s="1375"/>
      <c r="F37" s="1375"/>
      <c r="G37" s="1375"/>
      <c r="H37" s="1375"/>
      <c r="I37" s="1375"/>
      <c r="J37" s="1375"/>
      <c r="K37" s="1375"/>
      <c r="L37" s="1376"/>
      <c r="M37" s="1375"/>
      <c r="N37" s="1375"/>
      <c r="O37" s="1375"/>
      <c r="P37" s="1375"/>
      <c r="Q37" s="1375"/>
      <c r="S37" s="2257" t="s">
        <v>585</v>
      </c>
      <c r="T37" s="2257"/>
      <c r="U37" s="1379"/>
      <c r="V37" s="2258" t="str">
        <f>IF(TITLE_NUMBER_PR_CHANGE="",IF(TITLE_NUMBER_PR="","",TITLE_NUMBER_PR),TITLE_NUMBER_PR_CHANGE)</f>
        <v>29-12/1427</v>
      </c>
      <c r="W37" s="2258"/>
      <c r="X37" s="2258"/>
      <c r="Y37" s="2258"/>
      <c r="Z37" s="2258"/>
      <c r="AA37" s="2258"/>
      <c r="AB37" s="2258"/>
      <c r="AC37" s="333"/>
      <c r="AD37" s="2258" t="str">
        <f>IF(TITLE_NUMBER_PR_CHANGE="",IF(TITLE_NUMBER_PR="","",TITLE_NUMBER_PR),TITLE_NUMBER_PR_CHANGE)</f>
        <v>29-12/1427</v>
      </c>
      <c r="AE37" s="2258"/>
      <c r="AF37" s="2258"/>
      <c r="AG37" s="2258"/>
      <c r="AH37" s="2258"/>
      <c r="AI37" s="2258"/>
      <c r="AJ37" s="2258"/>
      <c r="AK37" s="2258"/>
      <c r="AL37" s="2258"/>
      <c r="AM37" s="2258"/>
      <c r="AN37" s="2258"/>
      <c r="AO37" s="2258"/>
      <c r="AP37" s="2258"/>
      <c r="AQ37" s="2258"/>
      <c r="AR37" s="2258"/>
      <c r="AS37" s="2258"/>
      <c r="AT37" s="2258"/>
      <c r="AU37" s="2258"/>
      <c r="AV37" s="2258"/>
      <c r="AW37" s="2258"/>
      <c r="AX37" s="2258"/>
      <c r="AY37" s="2258"/>
      <c r="AZ37" s="2258"/>
      <c r="BA37" s="333"/>
      <c r="BB37" s="333"/>
      <c r="BC37" s="287"/>
      <c r="BD37" s="375"/>
      <c r="BE37" s="375"/>
      <c r="BF37" s="375"/>
      <c r="BG37" s="375"/>
      <c r="BH37" s="375"/>
      <c r="BI37" s="425">
        <v>0</v>
      </c>
    </row>
    <row s="1860" customFormat="1" customHeight="1" ht="0">
      <c r="A38" s="1375"/>
      <c r="B38" s="1375"/>
      <c r="C38" s="1375"/>
      <c r="D38" s="1375"/>
      <c r="E38" s="1375"/>
      <c r="F38" s="1375"/>
      <c r="G38" s="1375"/>
      <c r="H38" s="1375"/>
      <c r="I38" s="1375"/>
      <c r="J38" s="1375"/>
      <c r="K38" s="1375"/>
      <c r="L38" s="1376"/>
      <c r="M38" s="1375"/>
      <c r="N38" s="1375"/>
      <c r="O38" s="1375"/>
      <c r="P38" s="1375"/>
      <c r="Q38" s="1375"/>
      <c r="S38" s="330"/>
      <c r="T38" s="330"/>
      <c r="U38" s="1461"/>
      <c r="V38" s="333"/>
      <c r="W38" s="333"/>
      <c r="X38" s="333"/>
      <c r="Y38" s="333"/>
      <c r="Z38" s="333"/>
      <c r="AA38" s="333"/>
      <c r="AB38" s="333"/>
      <c r="AC38" s="285" t="s">
        <v>588</v>
      </c>
      <c r="AD38" s="333"/>
      <c r="AE38" s="333"/>
      <c r="AF38" s="333"/>
      <c r="AG38" s="333"/>
      <c r="AH38" s="333"/>
      <c r="AI38" s="333"/>
      <c r="AJ38" s="333"/>
      <c r="AK38" s="333"/>
      <c r="AL38" s="333"/>
      <c r="AM38" s="333"/>
      <c r="AN38" s="333"/>
      <c r="AO38" s="333"/>
      <c r="AP38" s="333"/>
      <c r="AQ38" s="333"/>
      <c r="AR38" s="333"/>
      <c r="AS38" s="333"/>
      <c r="AT38" s="333"/>
      <c r="AU38" s="333"/>
      <c r="AV38" s="333"/>
      <c r="AW38" s="333"/>
      <c r="AX38" s="333"/>
      <c r="AY38" s="333"/>
      <c r="AZ38" s="333"/>
      <c r="BA38" s="285" t="s">
        <v>588</v>
      </c>
      <c r="BD38" s="375"/>
      <c r="BE38" s="375"/>
      <c r="BF38" s="375"/>
      <c r="BG38" s="375"/>
      <c r="BH38" s="375"/>
      <c r="BI38" s="425">
        <v>0</v>
      </c>
    </row>
    <row customHeight="1" ht="14.699999999999998">
      <c r="Q39" s="298"/>
      <c r="R39" s="383"/>
      <c r="S39" s="1282"/>
      <c r="T39" s="370"/>
      <c r="U39" s="1251"/>
      <c r="V39" s="2259"/>
      <c r="W39" s="2259"/>
      <c r="X39" s="2259"/>
      <c r="Y39" s="2259"/>
      <c r="Z39" s="2259"/>
      <c r="AA39" s="2259"/>
      <c r="AB39" s="2259"/>
      <c r="AC39" s="2259"/>
      <c r="AD39" s="2259"/>
      <c r="AE39" s="2259"/>
      <c r="AF39" s="2259"/>
      <c r="AG39" s="2259"/>
      <c r="AH39" s="2259"/>
      <c r="AI39" s="2259"/>
      <c r="AJ39" s="2259"/>
      <c r="AK39" s="2259"/>
      <c r="AL39" s="2259"/>
      <c r="AM39" s="2259"/>
      <c r="AN39" s="2259"/>
      <c r="AO39" s="2259"/>
      <c r="AP39" s="2259"/>
      <c r="AQ39" s="2259"/>
      <c r="AR39" s="2259"/>
      <c r="AS39" s="2259"/>
      <c r="AT39" s="2259"/>
      <c r="AU39" s="2259"/>
      <c r="AV39" s="2259"/>
      <c r="AW39" s="2259"/>
      <c r="AX39" s="2259"/>
      <c r="AY39" s="2259"/>
      <c r="AZ39" s="2259"/>
      <c r="BA39" s="2259"/>
      <c r="BI39" s="1162">
        <v>14</v>
      </c>
    </row>
    <row customHeight="1" ht="14.699999999999998">
      <c r="Q40" s="298"/>
      <c r="R40" s="383"/>
      <c r="S40" s="2134" t="s">
        <v>463</v>
      </c>
      <c r="T40" s="2134"/>
      <c r="U40" s="2134"/>
      <c r="V40" s="2134"/>
      <c r="W40" s="2134"/>
      <c r="X40" s="2134"/>
      <c r="Y40" s="2134"/>
      <c r="Z40" s="2134"/>
      <c r="AA40" s="2134"/>
      <c r="AB40" s="2134"/>
      <c r="AC40" s="2134"/>
      <c r="AD40" s="2134"/>
      <c r="AE40" s="2134"/>
      <c r="AF40" s="2134"/>
      <c r="AG40" s="2134"/>
      <c r="AH40" s="2134"/>
      <c r="AI40" s="2134"/>
      <c r="AJ40" s="2134"/>
      <c r="AK40" s="2134"/>
      <c r="AL40" s="2134"/>
      <c r="AM40" s="2134"/>
      <c r="AN40" s="2134"/>
      <c r="AO40" s="2134"/>
      <c r="AP40" s="2134"/>
      <c r="AQ40" s="2134"/>
      <c r="AR40" s="2134"/>
      <c r="AS40" s="2134"/>
      <c r="AT40" s="2134"/>
      <c r="AU40" s="2134"/>
      <c r="AV40" s="2134"/>
      <c r="AW40" s="2134"/>
      <c r="AX40" s="2134"/>
      <c r="AY40" s="2134"/>
      <c r="AZ40" s="2134"/>
      <c r="BA40" s="2134"/>
      <c r="BB40" s="2134"/>
      <c r="BC40" s="2134" t="s">
        <v>464</v>
      </c>
      <c r="BI40" s="1162">
        <v>14</v>
      </c>
    </row>
    <row customHeight="1" ht="14.699999999999998">
      <c r="Q41" s="298"/>
      <c r="R41" s="383"/>
      <c r="S41" s="2280" t="s">
        <v>88</v>
      </c>
      <c r="T41" s="2216" t="s">
        <v>669</v>
      </c>
      <c r="U41" s="308"/>
      <c r="V41" s="2281" t="s">
        <v>590</v>
      </c>
      <c r="W41" s="2282"/>
      <c r="X41" s="2282"/>
      <c r="Y41" s="2282"/>
      <c r="Z41" s="2282"/>
      <c r="AA41" s="2282"/>
      <c r="AB41" s="2283"/>
      <c r="AC41" s="2284" t="s">
        <v>591</v>
      </c>
      <c r="AD41" s="2335" t="s">
        <v>670</v>
      </c>
      <c r="AE41" s="2298"/>
      <c r="AF41" s="2298"/>
      <c r="AG41" s="2336"/>
      <c r="AH41" s="2335" t="s">
        <v>671</v>
      </c>
      <c r="AI41" s="2298"/>
      <c r="AJ41" s="2298"/>
      <c r="AK41" s="2336"/>
      <c r="AL41" s="2335" t="s">
        <v>672</v>
      </c>
      <c r="AM41" s="2298"/>
      <c r="AN41" s="2298"/>
      <c r="AO41" s="2336"/>
      <c r="AP41" s="2335" t="s">
        <v>673</v>
      </c>
      <c r="AQ41" s="2298"/>
      <c r="AR41" s="2298"/>
      <c r="AS41" s="2336"/>
      <c r="AT41" s="2281" t="s">
        <v>590</v>
      </c>
      <c r="AU41" s="2282"/>
      <c r="AV41" s="2282"/>
      <c r="AW41" s="2282"/>
      <c r="AX41" s="2282"/>
      <c r="AY41" s="2282"/>
      <c r="AZ41" s="2283"/>
      <c r="BA41" s="2284" t="s">
        <v>591</v>
      </c>
      <c r="BB41" s="2287" t="s">
        <v>593</v>
      </c>
      <c r="BC41" s="2134"/>
      <c r="BI41" s="1162">
        <v>14</v>
      </c>
    </row>
    <row customHeight="1" ht="35.699999999999996">
      <c r="Q42" s="298"/>
      <c r="R42" s="383"/>
      <c r="S42" s="2280"/>
      <c r="T42" s="2216"/>
      <c r="U42" s="1038"/>
      <c r="V42" s="2199" t="s">
        <v>674</v>
      </c>
      <c r="W42" s="2200"/>
      <c r="X42" s="2199" t="s">
        <v>675</v>
      </c>
      <c r="Y42" s="2200"/>
      <c r="Z42" s="2301" t="s">
        <v>676</v>
      </c>
      <c r="AA42" s="2320"/>
      <c r="AB42" s="2321"/>
      <c r="AC42" s="2285"/>
      <c r="AD42" s="2337"/>
      <c r="AE42" s="2338"/>
      <c r="AF42" s="2338"/>
      <c r="AG42" s="2339"/>
      <c r="AH42" s="2337"/>
      <c r="AI42" s="2338"/>
      <c r="AJ42" s="2338"/>
      <c r="AK42" s="2339"/>
      <c r="AL42" s="2337"/>
      <c r="AM42" s="2338"/>
      <c r="AN42" s="2338"/>
      <c r="AO42" s="2339"/>
      <c r="AP42" s="2337"/>
      <c r="AQ42" s="2338"/>
      <c r="AR42" s="2338"/>
      <c r="AS42" s="2339"/>
      <c r="AT42" s="2199" t="s">
        <v>674</v>
      </c>
      <c r="AU42" s="2200"/>
      <c r="AV42" s="2199" t="s">
        <v>675</v>
      </c>
      <c r="AW42" s="2200"/>
      <c r="AX42" s="2301" t="s">
        <v>676</v>
      </c>
      <c r="AY42" s="2320"/>
      <c r="AZ42" s="2321"/>
      <c r="BA42" s="2285"/>
      <c r="BB42" s="2288"/>
      <c r="BC42" s="2134"/>
      <c r="BI42" s="1162">
        <v>34</v>
      </c>
    </row>
    <row customHeight="1" ht="14.699999999999998">
      <c r="Q43" s="298"/>
      <c r="R43" s="383"/>
      <c r="S43" s="2280"/>
      <c r="T43" s="2216"/>
      <c r="U43" s="1038"/>
      <c r="V43" s="2207"/>
      <c r="W43" s="2208"/>
      <c r="X43" s="2207"/>
      <c r="Y43" s="2208"/>
      <c r="Z43" s="2302"/>
      <c r="AA43" s="2322"/>
      <c r="AB43" s="2323"/>
      <c r="AC43" s="2285"/>
      <c r="AD43" s="2337"/>
      <c r="AE43" s="2338"/>
      <c r="AF43" s="2338"/>
      <c r="AG43" s="2339"/>
      <c r="AH43" s="2337"/>
      <c r="AI43" s="2338"/>
      <c r="AJ43" s="2338"/>
      <c r="AK43" s="2339"/>
      <c r="AL43" s="2337"/>
      <c r="AM43" s="2338"/>
      <c r="AN43" s="2338"/>
      <c r="AO43" s="2339"/>
      <c r="AP43" s="2337"/>
      <c r="AQ43" s="2338"/>
      <c r="AR43" s="2338"/>
      <c r="AS43" s="2339"/>
      <c r="AT43" s="2207"/>
      <c r="AU43" s="2208"/>
      <c r="AV43" s="2207"/>
      <c r="AW43" s="2208"/>
      <c r="AX43" s="2302"/>
      <c r="AY43" s="2322"/>
      <c r="AZ43" s="2323"/>
      <c r="BA43" s="2285"/>
      <c r="BB43" s="2288"/>
      <c r="BC43" s="2134"/>
      <c r="BI43" s="1162">
        <v>14</v>
      </c>
    </row>
    <row customHeight="1" ht="14.699999999999998">
      <c r="A44" s="1377"/>
      <c r="B44" s="1377" t="s">
        <v>227</v>
      </c>
      <c r="C44" s="1377" t="s">
        <v>228</v>
      </c>
      <c r="D44" s="1377" t="s">
        <v>229</v>
      </c>
      <c r="E44" s="1371" t="s">
        <v>598</v>
      </c>
      <c r="F44" s="1371" t="s">
        <v>599</v>
      </c>
      <c r="G44" s="1371" t="s">
        <v>600</v>
      </c>
      <c r="H44" s="1371" t="s">
        <v>601</v>
      </c>
      <c r="I44" s="1371" t="s">
        <v>602</v>
      </c>
      <c r="J44" s="1371" t="s">
        <v>603</v>
      </c>
      <c r="K44" s="1371" t="s">
        <v>604</v>
      </c>
      <c r="L44" s="1371" t="s">
        <v>579</v>
      </c>
      <c r="Q44" s="298"/>
      <c r="R44" s="383"/>
      <c r="S44" s="2280"/>
      <c r="T44" s="2216"/>
      <c r="U44" s="309"/>
      <c r="V44" s="1455" t="s">
        <v>638</v>
      </c>
      <c r="W44" s="1455" t="s">
        <v>639</v>
      </c>
      <c r="X44" s="1455" t="s">
        <v>638</v>
      </c>
      <c r="Y44" s="1455" t="s">
        <v>639</v>
      </c>
      <c r="Z44" s="1462" t="s">
        <v>607</v>
      </c>
      <c r="AA44" s="2277" t="s">
        <v>608</v>
      </c>
      <c r="AB44" s="2278"/>
      <c r="AC44" s="2286"/>
      <c r="AD44" s="2340"/>
      <c r="AE44" s="2341"/>
      <c r="AF44" s="2341"/>
      <c r="AG44" s="2342"/>
      <c r="AH44" s="2340"/>
      <c r="AI44" s="2341"/>
      <c r="AJ44" s="2341"/>
      <c r="AK44" s="2342"/>
      <c r="AL44" s="2340"/>
      <c r="AM44" s="2341"/>
      <c r="AN44" s="2341"/>
      <c r="AO44" s="2342"/>
      <c r="AP44" s="2340"/>
      <c r="AQ44" s="2341"/>
      <c r="AR44" s="2341"/>
      <c r="AS44" s="2342"/>
      <c r="AT44" s="1455" t="s">
        <v>638</v>
      </c>
      <c r="AU44" s="1455" t="s">
        <v>639</v>
      </c>
      <c r="AV44" s="1455" t="s">
        <v>638</v>
      </c>
      <c r="AW44" s="1455" t="s">
        <v>639</v>
      </c>
      <c r="AX44" s="1462" t="s">
        <v>607</v>
      </c>
      <c r="AY44" s="2277" t="s">
        <v>608</v>
      </c>
      <c r="AZ44" s="2278"/>
      <c r="BA44" s="2286"/>
      <c r="BB44" s="2289"/>
      <c r="BC44" s="2134"/>
      <c r="BI44" s="1162">
        <v>14</v>
      </c>
    </row>
    <row s="1648" customFormat="1" customHeight="1" ht="11.25" hidden="1">
      <c r="A45" s="1377"/>
      <c r="B45" s="1377"/>
      <c r="C45" s="1377"/>
      <c r="D45" s="1377"/>
      <c r="E45" s="1377"/>
      <c r="F45" s="1377"/>
      <c r="G45" s="1377"/>
      <c r="H45" s="1377"/>
      <c r="I45" s="1377"/>
      <c r="J45" s="1377"/>
      <c r="K45" s="1377"/>
      <c r="L45" s="1371"/>
      <c r="M45" s="1369"/>
      <c r="N45" s="1369"/>
      <c r="O45" s="1369"/>
      <c r="P45" s="517"/>
      <c r="Q45" s="1261"/>
      <c r="R45" s="1261">
        <v>1</v>
      </c>
      <c r="S45" s="1284" t="s">
        <v>108</v>
      </c>
      <c r="T45" s="1262" t="s">
        <v>99</v>
      </c>
      <c r="U45" s="1252" t="str">
        <f>OFFSET(U45,0,-1)</f>
        <v>2</v>
      </c>
      <c r="V45" s="1458">
        <f>OFFSET(V45,0,-1)+1</f>
        <v>3</v>
      </c>
      <c r="W45" s="1458">
        <f>OFFSET(W45,0,-1)+1</f>
        <v>4</v>
      </c>
      <c r="X45" s="1458">
        <f>OFFSET(X45,0,-1)+1</f>
        <v>5</v>
      </c>
      <c r="Y45" s="1458">
        <f>OFFSET(Y45,0,-1)+1</f>
        <v>6</v>
      </c>
      <c r="Z45" s="1458">
        <f>OFFSET(Z45,0,-1)+1</f>
        <v>7</v>
      </c>
      <c r="AA45" s="2279">
        <f>OFFSET(AA45,0,-1)+1</f>
        <v>8</v>
      </c>
      <c r="AB45" s="2279"/>
      <c r="AC45" s="1458">
        <f>OFFSET(AC45,0,-2)+1</f>
        <v>9</v>
      </c>
      <c r="AD45" s="1458">
        <f>OFFSET(AD45,0,-1)+1</f>
        <v>10</v>
      </c>
      <c r="AE45" s="1458"/>
      <c r="AF45" s="1458"/>
      <c r="AG45" s="1458"/>
      <c r="AH45" s="1458"/>
      <c r="AI45" s="1458"/>
      <c r="AJ45" s="1458"/>
      <c r="AK45" s="1458"/>
      <c r="AL45" s="1458"/>
      <c r="AM45" s="1458"/>
      <c r="AN45" s="1458"/>
      <c r="AO45" s="1458"/>
      <c r="AP45" s="1458"/>
      <c r="AQ45" s="1458"/>
      <c r="AR45" s="1458"/>
      <c r="AS45" s="1458"/>
      <c r="AT45" s="1458"/>
      <c r="AU45" s="1458"/>
      <c r="AV45" s="1458"/>
      <c r="AW45" s="1458">
        <f>OFFSET(AW45,0,-1)+1</f>
        <v>1</v>
      </c>
      <c r="AX45" s="1458">
        <f>OFFSET(AX45,0,-1)+1</f>
        <v>2</v>
      </c>
      <c r="AY45" s="2279">
        <f>OFFSET(AY45,0,-1)+1</f>
        <v>3</v>
      </c>
      <c r="AZ45" s="2279"/>
      <c r="BA45" s="1458">
        <f>OFFSET(BA45,0,-2)+1</f>
        <v>4</v>
      </c>
      <c r="BB45" s="1252">
        <f>OFFSET(BB45,0,-1)</f>
        <v>4</v>
      </c>
      <c r="BC45" s="1458">
        <f>OFFSET(BC45,0,-1)+1</f>
        <v>5</v>
      </c>
      <c r="BD45" s="518"/>
      <c r="BE45" s="518"/>
      <c r="BF45" s="518"/>
      <c r="BG45" s="518"/>
      <c r="BH45" s="518"/>
      <c r="BI45" s="503">
        <v>0</v>
      </c>
    </row>
    <row customHeight="1" ht="22.049999999999997">
      <c r="A46" s="1370" t="s">
        <v>409</v>
      </c>
      <c r="B46" s="1370"/>
      <c r="C46" s="1370"/>
      <c r="D46" s="1370"/>
      <c r="E46" s="2265">
        <v>1</v>
      </c>
      <c r="F46" s="1370"/>
      <c r="G46" s="1370"/>
      <c r="H46" s="1370"/>
      <c r="I46" s="1370"/>
      <c r="J46" s="1370"/>
      <c r="K46" s="1370"/>
      <c r="L46" s="1371"/>
      <c r="M46" s="1372"/>
      <c r="N46" s="1372"/>
      <c r="O46" s="1372"/>
      <c r="P46" s="1416"/>
      <c r="Q46" s="880"/>
      <c r="R46" s="362"/>
      <c r="S46" s="1464">
        <f>INDEX(PT_DIFFERENTIATION_NUM_NTAR,MATCH(A46,PT_DIFFERENTIATION_NTAR_ID,0))</f>
        <v>0</v>
      </c>
      <c r="T46" s="305" t="s">
        <v>215</v>
      </c>
      <c r="U46" s="307"/>
      <c r="V46" s="2250"/>
      <c r="W46" s="2250"/>
      <c r="X46" s="2250"/>
      <c r="Y46" s="2250"/>
      <c r="Z46" s="2250"/>
      <c r="AA46" s="2250"/>
      <c r="AB46" s="2250"/>
      <c r="AC46" s="2251"/>
      <c r="AD46" s="2249" t="str">
        <f>INDEX(PT_DIFFERENTIATION_NTAR,MATCH(A46,PT_DIFFERENTIATION_NTAR_ID,0))</f>
        <v/>
      </c>
      <c r="AE46" s="2250"/>
      <c r="AF46" s="2250"/>
      <c r="AG46" s="2250"/>
      <c r="AH46" s="2250"/>
      <c r="AI46" s="2250"/>
      <c r="AJ46" s="2250"/>
      <c r="AK46" s="2250"/>
      <c r="AL46" s="2250"/>
      <c r="AM46" s="2250"/>
      <c r="AN46" s="2250"/>
      <c r="AO46" s="2250"/>
      <c r="AP46" s="2250"/>
      <c r="AQ46" s="2250"/>
      <c r="AR46" s="2250"/>
      <c r="AS46" s="2250"/>
      <c r="AT46" s="2250"/>
      <c r="AU46" s="2250"/>
      <c r="AV46" s="2250"/>
      <c r="AW46" s="2250"/>
      <c r="AX46" s="2250"/>
      <c r="AY46" s="2250"/>
      <c r="AZ46" s="2250"/>
      <c r="BA46" s="2250"/>
      <c r="BB46" s="2251"/>
      <c r="BC46"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7"/>
      <c r="BF46" s="507" t="str">
        <f>IF(T46="","",T46)</f>
        <v>Наименование тарифа</v>
      </c>
      <c r="BG46" s="507"/>
      <c r="BH46" s="507"/>
      <c r="BI46" s="1162">
        <v>21</v>
      </c>
    </row>
    <row customHeight="1" ht="22.049999999999997">
      <c r="A47" s="1370" t="s">
        <v>409</v>
      </c>
      <c r="B47" s="1370" t="s">
        <v>410</v>
      </c>
      <c r="C47" s="1370"/>
      <c r="D47" s="1370"/>
      <c r="E47" s="2266"/>
      <c r="F47" s="2265">
        <v>1</v>
      </c>
      <c r="G47" s="1370"/>
      <c r="H47" s="1370"/>
      <c r="I47" s="1370"/>
      <c r="J47" s="1370"/>
      <c r="K47" s="1370"/>
      <c r="L47" s="1371"/>
      <c r="M47" s="1372"/>
      <c r="N47" s="1372"/>
      <c r="O47" s="1372"/>
      <c r="P47" s="1417"/>
      <c r="Q47" s="1418"/>
      <c r="R47" s="360"/>
      <c r="S47" s="1464" t="str">
        <f>INDEX(PT_DIFFERENTIATION_NUM_TER,MATCH(B47,PT_DIFFERENTIATION_TER_ID,0))</f>
        <v>.</v>
      </c>
      <c r="T47" s="315" t="s">
        <v>560</v>
      </c>
      <c r="U47" s="307"/>
      <c r="V47" s="2250"/>
      <c r="W47" s="2250"/>
      <c r="X47" s="2250"/>
      <c r="Y47" s="2250"/>
      <c r="Z47" s="2250"/>
      <c r="AA47" s="2250"/>
      <c r="AB47" s="2250"/>
      <c r="AC47" s="2251"/>
      <c r="AD47" s="2249" t="str">
        <f>INDEX(PT_DIFFERENTIATION_TER,MATCH(B47,PT_DIFFERENTIATION_TER_ID,0))</f>
        <v/>
      </c>
      <c r="AE47" s="2250"/>
      <c r="AF47" s="2250"/>
      <c r="AG47" s="2250"/>
      <c r="AH47" s="2250"/>
      <c r="AI47" s="2250"/>
      <c r="AJ47" s="2250"/>
      <c r="AK47" s="2250"/>
      <c r="AL47" s="2250"/>
      <c r="AM47" s="2250"/>
      <c r="AN47" s="2250"/>
      <c r="AO47" s="2250"/>
      <c r="AP47" s="2250"/>
      <c r="AQ47" s="2250"/>
      <c r="AR47" s="2250"/>
      <c r="AS47" s="2250"/>
      <c r="AT47" s="2250"/>
      <c r="AU47" s="2250"/>
      <c r="AV47" s="2250"/>
      <c r="AW47" s="2250"/>
      <c r="AX47" s="2250"/>
      <c r="AY47" s="2250"/>
      <c r="AZ47" s="2250"/>
      <c r="BA47" s="2250"/>
      <c r="BB47" s="2251"/>
      <c r="BC47" s="1265" t="s">
        <v>561</v>
      </c>
      <c r="BE47" s="507"/>
      <c r="BF47" s="507" t="str">
        <f>IF(T47="","",T47)</f>
        <v>Территория действия тарифа</v>
      </c>
      <c r="BG47" s="507"/>
      <c r="BH47" s="507"/>
      <c r="BI47" s="1162">
        <v>21</v>
      </c>
    </row>
    <row customHeight="1" ht="43.050000000000004">
      <c r="A48" s="1370" t="s">
        <v>409</v>
      </c>
      <c r="B48" s="1370" t="s">
        <v>410</v>
      </c>
      <c r="C48" s="1370" t="s">
        <v>411</v>
      </c>
      <c r="D48" s="1370"/>
      <c r="E48" s="2266"/>
      <c r="F48" s="2266"/>
      <c r="G48" s="2265">
        <v>1</v>
      </c>
      <c r="H48" s="1370"/>
      <c r="I48" s="1370"/>
      <c r="J48" s="1370"/>
      <c r="K48" s="1370"/>
      <c r="L48" s="1371"/>
      <c r="M48" s="1372"/>
      <c r="N48" s="1372"/>
      <c r="O48" s="1372"/>
      <c r="P48" s="1419"/>
      <c r="Q48" s="1418"/>
      <c r="R48" s="360"/>
      <c r="S48" s="1464" t="str">
        <f>INDEX(PT_DIFFERENTIATION_NUM_CS,MATCH(C48,PT_DIFFERENTIATION_CS_ID,0))</f>
        <v>..</v>
      </c>
      <c r="T48" s="316" t="s">
        <v>641</v>
      </c>
      <c r="U48" s="307"/>
      <c r="V48" s="2250"/>
      <c r="W48" s="2250"/>
      <c r="X48" s="2250"/>
      <c r="Y48" s="2250"/>
      <c r="Z48" s="2250"/>
      <c r="AA48" s="2250"/>
      <c r="AB48" s="2250"/>
      <c r="AC48" s="2251"/>
      <c r="AD48" s="2249" t="str">
        <f>INDEX(PT_DIFFERENTIATION_CS,MATCH(C48,PT_DIFFERENTIATION_CS_ID,0))</f>
        <v/>
      </c>
      <c r="AE48" s="2250"/>
      <c r="AF48" s="2250"/>
      <c r="AG48" s="2250"/>
      <c r="AH48" s="2250"/>
      <c r="AI48" s="2250"/>
      <c r="AJ48" s="2250"/>
      <c r="AK48" s="2250"/>
      <c r="AL48" s="2250"/>
      <c r="AM48" s="2250"/>
      <c r="AN48" s="2250"/>
      <c r="AO48" s="2250"/>
      <c r="AP48" s="2250"/>
      <c r="AQ48" s="2250"/>
      <c r="AR48" s="2250"/>
      <c r="AS48" s="2250"/>
      <c r="AT48" s="2250"/>
      <c r="AU48" s="2250"/>
      <c r="AV48" s="2250"/>
      <c r="AW48" s="2250"/>
      <c r="AX48" s="2250"/>
      <c r="AY48" s="2250"/>
      <c r="AZ48" s="2250"/>
      <c r="BA48" s="2250"/>
      <c r="BB48" s="2251"/>
      <c r="BC48" s="1265" t="s">
        <v>642</v>
      </c>
      <c r="BE48" s="507"/>
      <c r="BF48" s="507" t="str">
        <f>IF(T48="","",T48)</f>
        <v>Наименование централизованной системы холодного водоснабжения</v>
      </c>
      <c r="BG48" s="507"/>
      <c r="BH48" s="507"/>
      <c r="BI48" s="1162">
        <v>41</v>
      </c>
    </row>
    <row s="1649" customFormat="1" customHeight="1" ht="0">
      <c r="A49" s="1350" t="s">
        <v>409</v>
      </c>
      <c r="B49" s="1350" t="s">
        <v>410</v>
      </c>
      <c r="C49" s="1350" t="s">
        <v>411</v>
      </c>
      <c r="D49" s="1350" t="s">
        <v>677</v>
      </c>
      <c r="E49" s="2266"/>
      <c r="F49" s="2266"/>
      <c r="G49" s="2266"/>
      <c r="H49" s="2265">
        <v>1</v>
      </c>
      <c r="I49" s="1350"/>
      <c r="J49" s="1350"/>
      <c r="K49" s="1350"/>
      <c r="L49" s="1353"/>
      <c r="M49" s="1322"/>
      <c r="N49" s="1322"/>
      <c r="O49" s="1322"/>
      <c r="P49" s="1504"/>
      <c r="Q49" s="1505"/>
      <c r="R49" s="364"/>
      <c r="S49" s="1049"/>
      <c r="T49" s="1506"/>
      <c r="U49" s="1391"/>
      <c r="V49" s="2304"/>
      <c r="W49" s="2304"/>
      <c r="X49" s="2304"/>
      <c r="Y49" s="2304"/>
      <c r="Z49" s="2304"/>
      <c r="AA49" s="2304"/>
      <c r="AB49" s="2304"/>
      <c r="AC49" s="2305"/>
      <c r="AD49" s="2303"/>
      <c r="AE49" s="2304"/>
      <c r="AF49" s="2304"/>
      <c r="AG49" s="2304"/>
      <c r="AH49" s="2304"/>
      <c r="AI49" s="2304"/>
      <c r="AJ49" s="2304"/>
      <c r="AK49" s="2304"/>
      <c r="AL49" s="2304"/>
      <c r="AM49" s="2304"/>
      <c r="AN49" s="2304"/>
      <c r="AO49" s="2304"/>
      <c r="AP49" s="2304"/>
      <c r="AQ49" s="2304"/>
      <c r="AR49" s="2304"/>
      <c r="AS49" s="2304"/>
      <c r="AT49" s="2304"/>
      <c r="AU49" s="2304"/>
      <c r="AV49" s="2304"/>
      <c r="AW49" s="2304"/>
      <c r="AX49" s="2304"/>
      <c r="AY49" s="2304"/>
      <c r="AZ49" s="2304"/>
      <c r="BA49" s="2304"/>
      <c r="BB49" s="2305"/>
      <c r="BC49" s="1392" t="s">
        <v>565</v>
      </c>
      <c r="BE49" s="507"/>
      <c r="BF49" s="507" t="str">
        <f>IF(T49="","",T49)</f>
        <v/>
      </c>
      <c r="BG49" s="507"/>
      <c r="BH49" s="507"/>
      <c r="BI49" s="518">
        <v>0</v>
      </c>
    </row>
    <row s="1649" customFormat="1" customHeight="1" ht="0">
      <c r="A50" s="1350" t="s">
        <v>409</v>
      </c>
      <c r="B50" s="1350" t="s">
        <v>410</v>
      </c>
      <c r="C50" s="1350" t="s">
        <v>411</v>
      </c>
      <c r="D50" s="1350" t="s">
        <v>677</v>
      </c>
      <c r="E50" s="2266"/>
      <c r="F50" s="2266"/>
      <c r="G50" s="2266"/>
      <c r="H50" s="2266"/>
      <c r="I50" s="2263" t="str">
        <f>S49&amp;".1"</f>
        <v>.1</v>
      </c>
      <c r="J50" s="1350"/>
      <c r="K50" s="1350"/>
      <c r="L50" s="1353" t="s">
        <v>566</v>
      </c>
      <c r="M50" s="517"/>
      <c r="N50" s="517"/>
      <c r="O50" s="517"/>
      <c r="P50" s="2264">
        <v>1</v>
      </c>
      <c r="Q50" s="1469"/>
      <c r="R50" s="363"/>
      <c r="S50" s="1049"/>
      <c r="T50" s="1390"/>
      <c r="U50" s="1391"/>
      <c r="V50" s="2304"/>
      <c r="W50" s="2304"/>
      <c r="X50" s="2304"/>
      <c r="Y50" s="2304"/>
      <c r="Z50" s="2304"/>
      <c r="AA50" s="2304"/>
      <c r="AB50" s="2304"/>
      <c r="AC50" s="2305"/>
      <c r="AD50" s="2303"/>
      <c r="AE50" s="2304"/>
      <c r="AF50" s="2304"/>
      <c r="AG50" s="2304"/>
      <c r="AH50" s="2304"/>
      <c r="AI50" s="2304"/>
      <c r="AJ50" s="2304"/>
      <c r="AK50" s="2304"/>
      <c r="AL50" s="2304"/>
      <c r="AM50" s="2304"/>
      <c r="AN50" s="2304"/>
      <c r="AO50" s="2304"/>
      <c r="AP50" s="2304"/>
      <c r="AQ50" s="2304"/>
      <c r="AR50" s="2304"/>
      <c r="AS50" s="2304"/>
      <c r="AT50" s="2304"/>
      <c r="AU50" s="2304"/>
      <c r="AV50" s="2304"/>
      <c r="AW50" s="2304"/>
      <c r="AX50" s="2304"/>
      <c r="AY50" s="2304"/>
      <c r="AZ50" s="2304"/>
      <c r="BA50" s="2304"/>
      <c r="BB50" s="2305"/>
      <c r="BC50" s="1392"/>
      <c r="BE50" s="507"/>
      <c r="BF50" s="507" t="str">
        <f>IF(T50="","",T50)</f>
        <v/>
      </c>
      <c r="BG50" s="507"/>
      <c r="BH50" s="507"/>
      <c r="BI50" s="518">
        <v>0</v>
      </c>
    </row>
    <row s="1649" customFormat="1" customHeight="1" ht="0">
      <c r="A51" s="1350" t="s">
        <v>409</v>
      </c>
      <c r="B51" s="1350" t="s">
        <v>410</v>
      </c>
      <c r="C51" s="1350" t="s">
        <v>411</v>
      </c>
      <c r="D51" s="1350" t="s">
        <v>677</v>
      </c>
      <c r="E51" s="2266"/>
      <c r="F51" s="2266"/>
      <c r="G51" s="2266"/>
      <c r="H51" s="2266"/>
      <c r="I51" s="2293"/>
      <c r="J51" s="2263" t="str">
        <f>S49&amp;".1"</f>
        <v>.1</v>
      </c>
      <c r="K51" s="1350"/>
      <c r="L51" s="1353"/>
      <c r="M51" s="517"/>
      <c r="N51" s="517"/>
      <c r="O51" s="517"/>
      <c r="P51" s="2264"/>
      <c r="Q51" s="2264">
        <v>1</v>
      </c>
      <c r="R51" s="364"/>
      <c r="S51" s="1049"/>
      <c r="T51" s="1406"/>
      <c r="U51" s="1391"/>
      <c r="V51" s="2304"/>
      <c r="W51" s="2304"/>
      <c r="X51" s="2304"/>
      <c r="Y51" s="2304"/>
      <c r="Z51" s="2304"/>
      <c r="AA51" s="2304"/>
      <c r="AB51" s="2304"/>
      <c r="AC51" s="2305"/>
      <c r="AD51" s="2303"/>
      <c r="AE51" s="2304"/>
      <c r="AF51" s="2304"/>
      <c r="AG51" s="2304"/>
      <c r="AH51" s="2304"/>
      <c r="AI51" s="2304"/>
      <c r="AJ51" s="2304"/>
      <c r="AK51" s="2304"/>
      <c r="AL51" s="2304"/>
      <c r="AM51" s="2304"/>
      <c r="AN51" s="2371"/>
      <c r="AO51" s="2371"/>
      <c r="AP51" s="2304"/>
      <c r="AQ51" s="2304"/>
      <c r="AR51" s="2304"/>
      <c r="AS51" s="2304"/>
      <c r="AT51" s="2304"/>
      <c r="AU51" s="2304"/>
      <c r="AV51" s="2304"/>
      <c r="AW51" s="2304"/>
      <c r="AX51" s="2304"/>
      <c r="AY51" s="2304"/>
      <c r="AZ51" s="2304"/>
      <c r="BA51" s="2304"/>
      <c r="BB51" s="2305"/>
      <c r="BC51" s="1392"/>
      <c r="BE51" s="507"/>
      <c r="BF51" s="507" t="str">
        <f>IF(T51="","",T51)</f>
        <v/>
      </c>
      <c r="BG51" s="507"/>
      <c r="BH51" s="507"/>
      <c r="BI51" s="518">
        <v>0</v>
      </c>
    </row>
    <row customHeight="1" ht="11.549999999999999">
      <c r="A52" s="1370" t="s">
        <v>409</v>
      </c>
      <c r="B52" s="1370" t="s">
        <v>410</v>
      </c>
      <c r="C52" s="1370" t="s">
        <v>411</v>
      </c>
      <c r="D52" s="1370" t="s">
        <v>677</v>
      </c>
      <c r="E52" s="2266"/>
      <c r="F52" s="2266"/>
      <c r="G52" s="2266"/>
      <c r="H52" s="2266"/>
      <c r="I52" s="2293"/>
      <c r="J52" s="2293"/>
      <c r="K52" s="2263" t="str">
        <f>S48&amp;".1"</f>
        <v>...1</v>
      </c>
      <c r="L52" s="1371"/>
      <c r="P52" s="2264"/>
      <c r="Q52" s="2264"/>
      <c r="R52" s="364">
        <v>1</v>
      </c>
      <c r="S52" s="2348" t="str">
        <f>$K52</f>
        <v>...1</v>
      </c>
      <c r="T52" s="2367"/>
      <c r="U52" s="307"/>
      <c r="V52" s="758"/>
      <c r="W52" s="1264"/>
      <c r="X52" s="758"/>
      <c r="Y52" s="1264"/>
      <c r="Z52" s="1741"/>
      <c r="AA52" s="1466" t="s">
        <v>66</v>
      </c>
      <c r="AB52" s="1741"/>
      <c r="AC52" s="1466" t="s">
        <v>66</v>
      </c>
      <c r="AD52" s="2192" t="s">
        <v>66</v>
      </c>
      <c r="AE52" s="2333"/>
      <c r="AF52" s="2212">
        <v>1</v>
      </c>
      <c r="AG52" s="2370"/>
      <c r="AH52" s="2114" t="s">
        <v>66</v>
      </c>
      <c r="AI52" s="2333"/>
      <c r="AJ52" s="2212">
        <v>1</v>
      </c>
      <c r="AK52" s="2334" t="s">
        <v>28</v>
      </c>
      <c r="AL52" s="2114" t="s">
        <v>66</v>
      </c>
      <c r="AM52" s="2199"/>
      <c r="AN52" s="2212">
        <v>1</v>
      </c>
      <c r="AO52" s="2364"/>
      <c r="AP52" s="2365" t="s">
        <v>66</v>
      </c>
      <c r="AQ52" s="318"/>
      <c r="AR52" s="1470">
        <v>1</v>
      </c>
      <c r="AS52" s="1473" t="s">
        <v>28</v>
      </c>
      <c r="AT52" s="758"/>
      <c r="AU52" s="1264"/>
      <c r="AV52" s="758"/>
      <c r="AW52" s="1264"/>
      <c r="AX52" s="1741"/>
      <c r="AY52" s="1466" t="s">
        <v>66</v>
      </c>
      <c r="AZ52" s="1741"/>
      <c r="BA52" s="1466" t="s">
        <v>66</v>
      </c>
      <c r="BB52" s="1355"/>
      <c r="BC52" s="2260" t="s">
        <v>663</v>
      </c>
      <c r="BE52" s="507"/>
      <c r="BF52" s="507" t="str">
        <f>IF(T52="","",T52)</f>
        <v/>
      </c>
      <c r="BG52" s="507"/>
      <c r="BH52" s="507"/>
      <c r="BI52" s="1162">
        <v>11</v>
      </c>
    </row>
    <row customHeight="1" ht="11.549999999999999">
      <c r="A53" s="1370"/>
      <c r="B53" s="1370"/>
      <c r="C53" s="1370"/>
      <c r="D53" s="1370"/>
      <c r="E53" s="2266"/>
      <c r="F53" s="2266"/>
      <c r="G53" s="2266"/>
      <c r="H53" s="2266"/>
      <c r="I53" s="2293"/>
      <c r="J53" s="2293"/>
      <c r="K53" s="2263"/>
      <c r="L53" s="1371"/>
      <c r="P53" s="2264"/>
      <c r="Q53" s="2264"/>
      <c r="R53" s="364"/>
      <c r="S53" s="2349"/>
      <c r="T53" s="2368"/>
      <c r="U53" s="307"/>
      <c r="V53" s="1400"/>
      <c r="W53" s="1503"/>
      <c r="X53" s="1400"/>
      <c r="Y53" s="1503"/>
      <c r="Z53" s="1400"/>
      <c r="AA53" s="1400"/>
      <c r="AB53" s="1400"/>
      <c r="AC53" s="1400"/>
      <c r="AD53" s="2193"/>
      <c r="AE53" s="2333"/>
      <c r="AF53" s="2212"/>
      <c r="AG53" s="2370"/>
      <c r="AH53" s="2114"/>
      <c r="AI53" s="2333"/>
      <c r="AJ53" s="2212"/>
      <c r="AK53" s="2334"/>
      <c r="AL53" s="2114"/>
      <c r="AM53" s="2207"/>
      <c r="AN53" s="2212"/>
      <c r="AO53" s="2364"/>
      <c r="AP53" s="2366"/>
      <c r="AQ53" s="323"/>
      <c r="AR53" s="423"/>
      <c r="AS53" s="423" t="s">
        <v>664</v>
      </c>
      <c r="AT53" s="1400"/>
      <c r="AU53" s="1503"/>
      <c r="AV53" s="1400"/>
      <c r="AW53" s="1503"/>
      <c r="AX53" s="1400"/>
      <c r="AY53" s="1400"/>
      <c r="AZ53" s="1400"/>
      <c r="BA53" s="1400"/>
      <c r="BB53" s="1404"/>
      <c r="BC53" s="2261"/>
      <c r="BE53" s="507"/>
      <c r="BF53" s="507"/>
      <c r="BG53" s="507"/>
      <c r="BH53" s="507"/>
      <c r="BI53" s="1162">
        <v>11</v>
      </c>
    </row>
    <row customHeight="1" ht="11.549999999999999">
      <c r="A54" s="1370" t="s">
        <v>409</v>
      </c>
      <c r="B54" s="1370"/>
      <c r="C54" s="1370"/>
      <c r="D54" s="1370"/>
      <c r="E54" s="2266"/>
      <c r="F54" s="2266"/>
      <c r="G54" s="2266"/>
      <c r="H54" s="2266"/>
      <c r="I54" s="2293"/>
      <c r="J54" s="2293"/>
      <c r="K54" s="2263"/>
      <c r="L54" s="1371"/>
      <c r="P54" s="2264"/>
      <c r="Q54" s="2264"/>
      <c r="R54" s="364"/>
      <c r="S54" s="2349"/>
      <c r="T54" s="2368"/>
      <c r="U54" s="307"/>
      <c r="V54" s="1400"/>
      <c r="W54" s="1503"/>
      <c r="X54" s="1400"/>
      <c r="Y54" s="1503"/>
      <c r="Z54" s="1400"/>
      <c r="AA54" s="1400"/>
      <c r="AB54" s="1400"/>
      <c r="AC54" s="1400"/>
      <c r="AD54" s="2193"/>
      <c r="AE54" s="2333"/>
      <c r="AF54" s="2212"/>
      <c r="AG54" s="2370"/>
      <c r="AH54" s="2114"/>
      <c r="AI54" s="2333"/>
      <c r="AJ54" s="2212"/>
      <c r="AK54" s="2334"/>
      <c r="AL54" s="2114"/>
      <c r="AM54" s="323"/>
      <c r="AN54" s="1507"/>
      <c r="AO54" s="1507" t="s">
        <v>665</v>
      </c>
      <c r="AP54" s="423"/>
      <c r="AQ54" s="423"/>
      <c r="AR54" s="423"/>
      <c r="AS54" s="1400"/>
      <c r="AT54" s="1400"/>
      <c r="AU54" s="1503"/>
      <c r="AV54" s="1400"/>
      <c r="AW54" s="1503"/>
      <c r="AX54" s="1400"/>
      <c r="AY54" s="1400"/>
      <c r="AZ54" s="1400"/>
      <c r="BA54" s="1400"/>
      <c r="BB54" s="1404"/>
      <c r="BC54" s="2261"/>
      <c r="BE54" s="507"/>
      <c r="BF54" s="507"/>
      <c r="BG54" s="507"/>
      <c r="BH54" s="507"/>
      <c r="BI54" s="1162">
        <v>11</v>
      </c>
    </row>
    <row customHeight="1" ht="11.549999999999999">
      <c r="A55" s="1370" t="s">
        <v>409</v>
      </c>
      <c r="B55" s="1370"/>
      <c r="C55" s="1370"/>
      <c r="D55" s="1370"/>
      <c r="E55" s="2266"/>
      <c r="F55" s="2266"/>
      <c r="G55" s="2266"/>
      <c r="H55" s="2266"/>
      <c r="I55" s="2293"/>
      <c r="J55" s="2293"/>
      <c r="K55" s="2263"/>
      <c r="L55" s="1371"/>
      <c r="P55" s="2264"/>
      <c r="Q55" s="2264"/>
      <c r="R55" s="364"/>
      <c r="S55" s="2349"/>
      <c r="T55" s="2368"/>
      <c r="U55" s="307"/>
      <c r="V55" s="1400"/>
      <c r="W55" s="1503"/>
      <c r="X55" s="1400"/>
      <c r="Y55" s="1503"/>
      <c r="Z55" s="1400"/>
      <c r="AA55" s="1400"/>
      <c r="AB55" s="1400"/>
      <c r="AC55" s="1400"/>
      <c r="AD55" s="2193"/>
      <c r="AE55" s="2333"/>
      <c r="AF55" s="2212"/>
      <c r="AG55" s="2370"/>
      <c r="AH55" s="2114"/>
      <c r="AI55" s="301"/>
      <c r="AJ55" s="422"/>
      <c r="AK55" s="320" t="s">
        <v>666</v>
      </c>
      <c r="AL55" s="1400"/>
      <c r="AM55" s="1400"/>
      <c r="AN55" s="1400"/>
      <c r="AO55" s="1400"/>
      <c r="AP55" s="1400"/>
      <c r="AQ55" s="1400"/>
      <c r="AR55" s="1400"/>
      <c r="AS55" s="1400"/>
      <c r="AT55" s="1400"/>
      <c r="AU55" s="1503"/>
      <c r="AV55" s="1400"/>
      <c r="AW55" s="1503"/>
      <c r="AX55" s="1400"/>
      <c r="AY55" s="1400"/>
      <c r="AZ55" s="1400"/>
      <c r="BA55" s="1400"/>
      <c r="BB55" s="1404"/>
      <c r="BC55" s="2261"/>
      <c r="BE55" s="507"/>
      <c r="BF55" s="507"/>
      <c r="BG55" s="507"/>
      <c r="BH55" s="507"/>
      <c r="BI55" s="1162">
        <v>11</v>
      </c>
    </row>
    <row customHeight="1" ht="11.549999999999999">
      <c r="A56" s="1370" t="s">
        <v>409</v>
      </c>
      <c r="B56" s="1370" t="s">
        <v>410</v>
      </c>
      <c r="C56" s="1370" t="s">
        <v>411</v>
      </c>
      <c r="D56" s="1370" t="s">
        <v>677</v>
      </c>
      <c r="E56" s="2266"/>
      <c r="F56" s="2266"/>
      <c r="G56" s="2266"/>
      <c r="H56" s="2266"/>
      <c r="I56" s="2293"/>
      <c r="J56" s="2293"/>
      <c r="K56" s="2263"/>
      <c r="L56" s="1371"/>
      <c r="P56" s="2264"/>
      <c r="Q56" s="2264"/>
      <c r="R56" s="364"/>
      <c r="S56" s="2350"/>
      <c r="T56" s="2369"/>
      <c r="U56" s="307"/>
      <c r="V56" s="1400"/>
      <c r="W56" s="1401" t="str">
        <f>Z52&amp;"-"&amp;AB52</f>
        <v>-</v>
      </c>
      <c r="X56" s="1400"/>
      <c r="Y56" s="1401" t="str">
        <f>AB52&amp;"-"&amp;AD52</f>
        <v>-да</v>
      </c>
      <c r="Z56" s="1400"/>
      <c r="AA56" s="1400"/>
      <c r="AB56" s="1400"/>
      <c r="AC56" s="1400"/>
      <c r="AD56" s="2119"/>
      <c r="AE56" s="319"/>
      <c r="AF56" s="321"/>
      <c r="AG56" s="423" t="s">
        <v>667</v>
      </c>
      <c r="AH56" s="1400"/>
      <c r="AI56" s="1400"/>
      <c r="AJ56" s="1400"/>
      <c r="AK56" s="1400"/>
      <c r="AL56" s="1400"/>
      <c r="AM56" s="1400"/>
      <c r="AN56" s="1400"/>
      <c r="AO56" s="1400"/>
      <c r="AP56" s="1400"/>
      <c r="AQ56" s="1400"/>
      <c r="AR56" s="1400"/>
      <c r="AS56" s="1400"/>
      <c r="AT56" s="1400"/>
      <c r="AU56" s="1401" t="str">
        <f>AX52&amp;"-"&amp;AZ52</f>
        <v>-</v>
      </c>
      <c r="AV56" s="1400"/>
      <c r="AW56" s="1401" t="str">
        <f>AZ52&amp;"-"&amp;BB52</f>
        <v>-</v>
      </c>
      <c r="AX56" s="1400"/>
      <c r="AY56" s="1400"/>
      <c r="AZ56" s="1400"/>
      <c r="BA56" s="1400"/>
      <c r="BB56" s="1403" t="str">
        <f>BE52&amp;"-"&amp;BG52</f>
        <v>-</v>
      </c>
      <c r="BC56" s="2261"/>
      <c r="BE56" s="507"/>
      <c r="BF56" s="507" t="str">
        <f>IF(T56="","",T56)</f>
        <v/>
      </c>
      <c r="BG56" s="507"/>
      <c r="BH56" s="507"/>
      <c r="BI56" s="1162">
        <v>11</v>
      </c>
    </row>
    <row customHeight="1" ht="11.549999999999999">
      <c r="A57" s="1370" t="s">
        <v>409</v>
      </c>
      <c r="B57" s="1370" t="s">
        <v>410</v>
      </c>
      <c r="C57" s="1370" t="s">
        <v>411</v>
      </c>
      <c r="D57" s="1370" t="s">
        <v>677</v>
      </c>
      <c r="E57" s="2266"/>
      <c r="F57" s="2266"/>
      <c r="G57" s="2266"/>
      <c r="H57" s="2266"/>
      <c r="I57" s="2293"/>
      <c r="J57" s="2263"/>
      <c r="K57" s="1370"/>
      <c r="L57" s="1371"/>
      <c r="P57" s="2264"/>
      <c r="Q57" s="2264"/>
      <c r="R57" s="363"/>
      <c r="S57" s="1285"/>
      <c r="T57" s="294" t="s">
        <v>628</v>
      </c>
      <c r="U57" s="374"/>
      <c r="V57" s="374"/>
      <c r="W57" s="374"/>
      <c r="X57" s="374"/>
      <c r="Y57" s="374"/>
      <c r="Z57" s="374"/>
      <c r="AA57" s="374"/>
      <c r="AB57" s="374"/>
      <c r="AC57" s="331"/>
      <c r="AD57" s="1512"/>
      <c r="AE57" s="374"/>
      <c r="AF57" s="374"/>
      <c r="AG57" s="374"/>
      <c r="AH57" s="374"/>
      <c r="AI57" s="374"/>
      <c r="AJ57" s="374"/>
      <c r="AK57" s="374"/>
      <c r="AL57" s="374"/>
      <c r="AM57" s="374"/>
      <c r="AN57" s="374"/>
      <c r="AO57" s="374"/>
      <c r="AP57" s="374"/>
      <c r="AQ57" s="374"/>
      <c r="AR57" s="374"/>
      <c r="AS57" s="374"/>
      <c r="AT57" s="374"/>
      <c r="AU57" s="374"/>
      <c r="AV57" s="374"/>
      <c r="AW57" s="374"/>
      <c r="AX57" s="374"/>
      <c r="AY57" s="374"/>
      <c r="AZ57" s="374"/>
      <c r="BA57" s="374"/>
      <c r="BB57" s="331"/>
      <c r="BC57" s="2262"/>
      <c r="BE57" s="507"/>
      <c r="BF57" s="507" t="str">
        <f>IF(T57="","",T57)</f>
        <v>Добавить строку</v>
      </c>
      <c r="BG57" s="507"/>
      <c r="BH57" s="507"/>
      <c r="BI57" s="1162">
        <v>11</v>
      </c>
    </row>
    <row s="1649" customFormat="1" customHeight="1" ht="0">
      <c r="A58" s="1350" t="s">
        <v>409</v>
      </c>
      <c r="B58" s="1350" t="s">
        <v>410</v>
      </c>
      <c r="C58" s="1350" t="s">
        <v>411</v>
      </c>
      <c r="D58" s="1350" t="s">
        <v>677</v>
      </c>
      <c r="E58" s="2266"/>
      <c r="F58" s="2266"/>
      <c r="G58" s="2266"/>
      <c r="H58" s="2266"/>
      <c r="I58" s="2263"/>
      <c r="J58" s="1350"/>
      <c r="K58" s="1350"/>
      <c r="L58" s="1353"/>
      <c r="M58" s="517"/>
      <c r="N58" s="517"/>
      <c r="O58" s="517"/>
      <c r="P58" s="2264"/>
      <c r="Q58" s="1469"/>
      <c r="R58" s="363"/>
      <c r="S58" s="1393"/>
      <c r="T58" s="1394"/>
      <c r="U58" s="1395"/>
      <c r="V58" s="1395"/>
      <c r="W58" s="1395"/>
      <c r="X58" s="1395"/>
      <c r="Y58" s="1395"/>
      <c r="Z58" s="1395"/>
      <c r="AA58" s="1395"/>
      <c r="AB58" s="1395"/>
      <c r="AC58" s="1395"/>
      <c r="AD58" s="1395"/>
      <c r="AE58" s="1395"/>
      <c r="AF58" s="1395"/>
      <c r="AG58" s="1395"/>
      <c r="AH58" s="1395"/>
      <c r="AI58" s="1395"/>
      <c r="AJ58" s="1395"/>
      <c r="AK58" s="1395"/>
      <c r="AL58" s="1395"/>
      <c r="AM58" s="1395"/>
      <c r="AN58" s="1395"/>
      <c r="AO58" s="1395"/>
      <c r="AP58" s="1395"/>
      <c r="AQ58" s="1395"/>
      <c r="AR58" s="1395"/>
      <c r="AS58" s="1395"/>
      <c r="AT58" s="1395"/>
      <c r="AU58" s="1395"/>
      <c r="AV58" s="1395"/>
      <c r="AW58" s="1395"/>
      <c r="AX58" s="1395"/>
      <c r="AY58" s="1395"/>
      <c r="AZ58" s="1395"/>
      <c r="BA58" s="1395"/>
      <c r="BB58" s="1395"/>
      <c r="BC58" s="1396"/>
      <c r="BE58" s="507"/>
      <c r="BF58" s="507" t="str">
        <f>IF(T58="","",T58)</f>
        <v/>
      </c>
      <c r="BG58" s="507"/>
      <c r="BH58" s="507"/>
      <c r="BI58" s="518">
        <v>0</v>
      </c>
    </row>
    <row s="1649" customFormat="1" customHeight="1" ht="0">
      <c r="A59" s="1350" t="s">
        <v>409</v>
      </c>
      <c r="B59" s="1350" t="s">
        <v>410</v>
      </c>
      <c r="C59" s="1350" t="s">
        <v>411</v>
      </c>
      <c r="D59" s="1350" t="s">
        <v>677</v>
      </c>
      <c r="E59" s="2266"/>
      <c r="F59" s="2266"/>
      <c r="G59" s="2266"/>
      <c r="H59" s="2265"/>
      <c r="I59" s="1350"/>
      <c r="J59" s="1350"/>
      <c r="K59" s="1350"/>
      <c r="L59" s="1353"/>
      <c r="M59" s="1322"/>
      <c r="N59" s="1322"/>
      <c r="O59" s="525"/>
      <c r="P59" s="387"/>
      <c r="Q59" s="1351"/>
      <c r="R59" s="1408"/>
      <c r="S59" s="1393"/>
      <c r="T59" s="1394"/>
      <c r="U59" s="1395"/>
      <c r="V59" s="1395"/>
      <c r="W59" s="1395"/>
      <c r="X59" s="1395"/>
      <c r="Y59" s="1395"/>
      <c r="Z59" s="1395"/>
      <c r="AA59" s="1395"/>
      <c r="AB59" s="1395"/>
      <c r="AC59" s="1395"/>
      <c r="AD59" s="1395"/>
      <c r="AE59" s="1395"/>
      <c r="AF59" s="1395"/>
      <c r="AG59" s="1395"/>
      <c r="AH59" s="1395"/>
      <c r="AI59" s="1395"/>
      <c r="AJ59" s="1395"/>
      <c r="AK59" s="1395"/>
      <c r="AL59" s="1395"/>
      <c r="AM59" s="1395"/>
      <c r="AN59" s="1395"/>
      <c r="AO59" s="1395"/>
      <c r="AP59" s="1395"/>
      <c r="AQ59" s="1395"/>
      <c r="AR59" s="1395"/>
      <c r="AS59" s="1395"/>
      <c r="AT59" s="1395"/>
      <c r="AU59" s="1395"/>
      <c r="AV59" s="1395"/>
      <c r="AW59" s="1395"/>
      <c r="AX59" s="1395"/>
      <c r="AY59" s="1395"/>
      <c r="AZ59" s="1395"/>
      <c r="BA59" s="1395"/>
      <c r="BB59" s="1395"/>
      <c r="BC59" s="1396"/>
      <c r="BE59" s="507"/>
      <c r="BF59" s="507" t="str">
        <f>IF(T59="","",T59)</f>
        <v/>
      </c>
      <c r="BG59" s="507"/>
      <c r="BH59" s="507"/>
      <c r="BI59" s="518">
        <v>0</v>
      </c>
    </row>
    <row s="1649" customFormat="1" customHeight="1" ht="0">
      <c r="A60" s="1350" t="s">
        <v>409</v>
      </c>
      <c r="B60" s="1350" t="s">
        <v>410</v>
      </c>
      <c r="C60" s="1350" t="s">
        <v>411</v>
      </c>
      <c r="D60" s="1321"/>
      <c r="E60" s="2266"/>
      <c r="F60" s="2266"/>
      <c r="G60" s="2265"/>
      <c r="H60" s="1321"/>
      <c r="I60" s="1321"/>
      <c r="J60" s="1321"/>
      <c r="K60" s="1321"/>
      <c r="L60" s="1471"/>
      <c r="M60" s="1322"/>
      <c r="N60" s="1322"/>
      <c r="P60" s="1323"/>
      <c r="Q60" s="1324"/>
      <c r="R60" s="1323"/>
      <c r="S60" s="1329"/>
      <c r="T60" s="1332"/>
      <c r="U60" s="1331"/>
      <c r="V60" s="1331"/>
      <c r="W60" s="1331"/>
      <c r="X60" s="1331"/>
      <c r="Y60" s="1331"/>
      <c r="Z60" s="1331"/>
      <c r="AA60" s="1331"/>
      <c r="AB60" s="1331"/>
      <c r="AC60" s="1331"/>
      <c r="AD60" s="1331"/>
      <c r="AE60" s="1331"/>
      <c r="AF60" s="1331"/>
      <c r="AG60" s="1331"/>
      <c r="AH60" s="1331"/>
      <c r="AI60" s="1331"/>
      <c r="AJ60" s="1331"/>
      <c r="AK60" s="1331"/>
      <c r="AL60" s="1331"/>
      <c r="AM60" s="1331"/>
      <c r="AN60" s="1331"/>
      <c r="AO60" s="1331"/>
      <c r="AP60" s="1331"/>
      <c r="AQ60" s="1331"/>
      <c r="AR60" s="1331"/>
      <c r="AS60" s="1331"/>
      <c r="AT60" s="1331"/>
      <c r="AU60" s="1331"/>
      <c r="AV60" s="1331"/>
      <c r="AW60" s="1331"/>
      <c r="AX60" s="1331"/>
      <c r="AY60" s="1331"/>
      <c r="AZ60" s="1331"/>
      <c r="BA60" s="1331"/>
      <c r="BB60" s="1331"/>
      <c r="BC60" s="1331"/>
      <c r="BE60" s="796"/>
      <c r="BF60" s="796" t="str">
        <f>IF(T60="","",T60)</f>
        <v/>
      </c>
      <c r="BG60" s="796"/>
      <c r="BH60" s="796"/>
      <c r="BI60" s="525">
        <v>0</v>
      </c>
    </row>
    <row s="1649" customFormat="1" customHeight="1" ht="0">
      <c r="A61" s="1350" t="s">
        <v>409</v>
      </c>
      <c r="B61" s="1350" t="s">
        <v>410</v>
      </c>
      <c r="C61" s="1321"/>
      <c r="D61" s="1321"/>
      <c r="E61" s="2266"/>
      <c r="F61" s="2265"/>
      <c r="G61" s="1321"/>
      <c r="H61" s="1321"/>
      <c r="I61" s="1321"/>
      <c r="J61" s="1321"/>
      <c r="K61" s="1321"/>
      <c r="L61" s="1471"/>
      <c r="M61" s="1328"/>
      <c r="N61" s="1328"/>
      <c r="P61" s="1323"/>
      <c r="Q61" s="1324"/>
      <c r="R61" s="1323"/>
      <c r="S61" s="1329"/>
      <c r="T61" s="1332" t="s">
        <v>316</v>
      </c>
      <c r="U61" s="1331"/>
      <c r="V61" s="1331"/>
      <c r="W61" s="1331"/>
      <c r="X61" s="1331"/>
      <c r="Y61" s="1331"/>
      <c r="Z61" s="1331"/>
      <c r="AA61" s="1331"/>
      <c r="AB61" s="1331"/>
      <c r="AC61" s="1331"/>
      <c r="AD61" s="1331"/>
      <c r="AE61" s="1331"/>
      <c r="AF61" s="1331"/>
      <c r="AG61" s="1331"/>
      <c r="AH61" s="1331"/>
      <c r="AI61" s="1331"/>
      <c r="AJ61" s="1331"/>
      <c r="AK61" s="1331"/>
      <c r="AL61" s="1331"/>
      <c r="AM61" s="1331"/>
      <c r="AN61" s="1331"/>
      <c r="AO61" s="1331"/>
      <c r="AP61" s="1331"/>
      <c r="AQ61" s="1331"/>
      <c r="AR61" s="1331"/>
      <c r="AS61" s="1331"/>
      <c r="AT61" s="1331"/>
      <c r="AU61" s="1331"/>
      <c r="AV61" s="1331"/>
      <c r="AW61" s="1331"/>
      <c r="AX61" s="1331"/>
      <c r="AY61" s="1331"/>
      <c r="AZ61" s="1331"/>
      <c r="BA61" s="1331"/>
      <c r="BB61" s="1331"/>
      <c r="BC61" s="1331"/>
      <c r="BE61" s="796"/>
      <c r="BF61" s="796" t="str">
        <f>IF(T61="","",T61)</f>
        <v>Добавить централизованную систему для дифференциации</v>
      </c>
      <c r="BG61" s="796"/>
      <c r="BH61" s="796"/>
      <c r="BI61" s="525">
        <v>0</v>
      </c>
    </row>
    <row s="1649" customFormat="1" customHeight="1" ht="0">
      <c r="A62" s="1350" t="s">
        <v>409</v>
      </c>
      <c r="B62" s="1350"/>
      <c r="C62" s="1350"/>
      <c r="D62" s="1350"/>
      <c r="E62" s="2265"/>
      <c r="F62" s="1350"/>
      <c r="G62" s="1350"/>
      <c r="H62" s="1350"/>
      <c r="I62" s="1350"/>
      <c r="J62" s="1350"/>
      <c r="K62" s="1350"/>
      <c r="L62" s="1353"/>
      <c r="M62" s="1328"/>
      <c r="N62" s="1328"/>
      <c r="O62" s="525"/>
      <c r="P62" s="387"/>
      <c r="Q62" s="1351"/>
      <c r="R62" s="387"/>
      <c r="S62" s="1329"/>
      <c r="T62" s="1332" t="s">
        <v>390</v>
      </c>
      <c r="U62" s="1331"/>
      <c r="V62" s="1331"/>
      <c r="W62" s="1331"/>
      <c r="X62" s="1331"/>
      <c r="Y62" s="1331"/>
      <c r="Z62" s="1331"/>
      <c r="AA62" s="1331"/>
      <c r="AB62" s="1331"/>
      <c r="AC62" s="1331"/>
      <c r="AD62" s="1331"/>
      <c r="AE62" s="1331"/>
      <c r="AF62" s="1331"/>
      <c r="AG62" s="1331"/>
      <c r="AH62" s="1331"/>
      <c r="AI62" s="1331"/>
      <c r="AJ62" s="1331"/>
      <c r="AK62" s="1331"/>
      <c r="AL62" s="1331"/>
      <c r="AM62" s="1331"/>
      <c r="AN62" s="1331"/>
      <c r="AO62" s="1331"/>
      <c r="AP62" s="1331"/>
      <c r="AQ62" s="1331"/>
      <c r="AR62" s="1331"/>
      <c r="AS62" s="1331"/>
      <c r="AT62" s="1331"/>
      <c r="AU62" s="1331"/>
      <c r="AV62" s="1331"/>
      <c r="AW62" s="1331"/>
      <c r="AX62" s="1331"/>
      <c r="AY62" s="1331"/>
      <c r="AZ62" s="1331"/>
      <c r="BA62" s="1331"/>
      <c r="BB62" s="1331"/>
      <c r="BC62" s="1331"/>
      <c r="BE62" s="507"/>
      <c r="BF62" s="507" t="str">
        <f>IF(T62="","",T62)</f>
        <v>Добавить территорию для дифференциации</v>
      </c>
      <c r="BG62" s="507"/>
      <c r="BH62" s="507"/>
      <c r="BI62" s="518">
        <v>0</v>
      </c>
    </row>
    <row s="1649" customFormat="1" customHeight="1" ht="0">
      <c r="A63" s="1321"/>
      <c r="B63" s="1321"/>
      <c r="C63" s="1321"/>
      <c r="D63" s="1321"/>
      <c r="E63" s="1350"/>
      <c r="F63" s="1321"/>
      <c r="G63" s="1321"/>
      <c r="H63" s="1321"/>
      <c r="I63" s="1321"/>
      <c r="J63" s="1321"/>
      <c r="K63" s="1321"/>
      <c r="L63" s="1471"/>
      <c r="M63" s="1328"/>
      <c r="N63" s="1328"/>
      <c r="P63" s="1323"/>
      <c r="Q63" s="1324"/>
      <c r="R63" s="1323"/>
      <c r="S63" s="1329"/>
      <c r="T63" s="1332" t="s">
        <v>391</v>
      </c>
      <c r="U63" s="1331"/>
      <c r="V63" s="1331"/>
      <c r="W63" s="1331"/>
      <c r="X63" s="1331"/>
      <c r="Y63" s="1331"/>
      <c r="Z63" s="1331"/>
      <c r="AA63" s="1331"/>
      <c r="AB63" s="1331"/>
      <c r="AC63" s="1331"/>
      <c r="AD63" s="1331"/>
      <c r="AE63" s="1331"/>
      <c r="AF63" s="1331"/>
      <c r="AG63" s="1331"/>
      <c r="AH63" s="1331"/>
      <c r="AI63" s="1331"/>
      <c r="AJ63" s="1331"/>
      <c r="AK63" s="1331"/>
      <c r="AL63" s="1331"/>
      <c r="AM63" s="1331"/>
      <c r="AN63" s="1331"/>
      <c r="AO63" s="1331"/>
      <c r="AP63" s="1331"/>
      <c r="AQ63" s="1331"/>
      <c r="AR63" s="1331"/>
      <c r="AS63" s="1331"/>
      <c r="AT63" s="1331"/>
      <c r="AU63" s="1331"/>
      <c r="AV63" s="1331"/>
      <c r="AW63" s="1331"/>
      <c r="AX63" s="1331"/>
      <c r="AY63" s="1331"/>
      <c r="AZ63" s="1331"/>
      <c r="BA63" s="1331"/>
      <c r="BB63" s="1331"/>
      <c r="BC63" s="1331"/>
      <c r="BE63" s="796"/>
      <c r="BF63" s="796" t="str">
        <f>IF(T63="","",T63)</f>
        <v>Добавить наименование тарифа</v>
      </c>
      <c r="BG63" s="796"/>
      <c r="BH63" s="796"/>
      <c r="BI63" s="525">
        <v>0</v>
      </c>
    </row>
    <row customHeight="1" ht="11.549999999999999">
      <c r="M64" s="1167"/>
      <c r="N64" s="1167"/>
      <c r="O64" s="544"/>
      <c r="P64" s="1167"/>
      <c r="Q64" s="1167"/>
      <c r="R64" s="1162"/>
      <c r="S64" s="1162"/>
      <c r="BD64" s="1162"/>
      <c r="BE64" s="1162"/>
      <c r="BF64" s="1162"/>
      <c r="BG64" s="1162"/>
      <c r="BH64" s="1162"/>
      <c r="BI64" s="1162">
        <v>11</v>
      </c>
    </row>
    <row customHeight="1" ht="19.95">
      <c r="O65" s="544"/>
      <c r="S65" s="1260"/>
      <c r="T65" s="2292"/>
      <c r="U65" s="2292"/>
      <c r="V65" s="2292"/>
      <c r="W65" s="2292"/>
      <c r="X65" s="2292"/>
      <c r="Y65" s="2292"/>
      <c r="Z65" s="2292"/>
      <c r="AA65" s="2292"/>
      <c r="AB65" s="2292"/>
      <c r="AC65" s="2292"/>
      <c r="AD65" s="2292"/>
      <c r="AE65" s="2292"/>
      <c r="AF65" s="2292"/>
      <c r="AG65" s="2292"/>
      <c r="AH65" s="2292"/>
      <c r="AI65" s="2292"/>
      <c r="AJ65" s="2292"/>
      <c r="AK65" s="2292"/>
      <c r="AL65" s="2292"/>
      <c r="AM65" s="2292"/>
      <c r="AN65" s="2292"/>
      <c r="AO65" s="2292"/>
      <c r="AP65" s="2292"/>
      <c r="AQ65" s="2292"/>
      <c r="AR65" s="2292"/>
      <c r="AS65" s="2292"/>
      <c r="AT65" s="2292"/>
      <c r="AU65" s="2292"/>
      <c r="AV65" s="2292"/>
      <c r="AW65" s="2292"/>
      <c r="AX65" s="2292"/>
      <c r="AY65" s="2292"/>
      <c r="AZ65" s="2292"/>
      <c r="BA65" s="2292"/>
      <c r="BB65" s="2292"/>
      <c r="BC65" s="2292"/>
      <c r="BI65" s="1162">
        <v>19</v>
      </c>
    </row>
    <row customHeight="1" ht="14.699999999999998">
      <c r="O66" s="544"/>
      <c r="T66" s="1456"/>
      <c r="U66" s="1456"/>
      <c r="V66" s="1456"/>
      <c r="W66" s="1456"/>
      <c r="X66" s="1456"/>
      <c r="Y66" s="1456"/>
      <c r="Z66" s="1456"/>
      <c r="AA66" s="1456"/>
      <c r="AB66" s="1456"/>
      <c r="AC66" s="1456"/>
      <c r="AD66" s="1456"/>
      <c r="AE66" s="1456"/>
      <c r="AF66" s="1456"/>
      <c r="AG66" s="1456"/>
      <c r="AH66" s="1456"/>
      <c r="AI66" s="1456"/>
      <c r="AJ66" s="1456"/>
      <c r="AK66" s="1456"/>
      <c r="AL66" s="1456"/>
      <c r="AM66" s="1456"/>
      <c r="AN66" s="1456"/>
      <c r="AO66" s="1456"/>
      <c r="AP66" s="1456"/>
      <c r="AQ66" s="1456"/>
      <c r="AR66" s="1456"/>
      <c r="AS66" s="1456"/>
      <c r="AT66" s="1456"/>
      <c r="AU66" s="1456"/>
      <c r="AV66" s="1456"/>
      <c r="AW66" s="1456"/>
      <c r="AX66" s="1456"/>
      <c r="AY66" s="1456"/>
      <c r="AZ66" s="1456"/>
      <c r="BA66" s="1456"/>
      <c r="BB66" s="1456"/>
      <c r="BC66" s="1456"/>
      <c r="BI66" s="1162">
        <v>14</v>
      </c>
    </row>
    <row customHeight="1" ht="19.95">
      <c r="O67" s="544"/>
      <c r="S67" s="1260"/>
      <c r="T67" s="2292"/>
      <c r="U67" s="2292"/>
      <c r="V67" s="2292"/>
      <c r="W67" s="2292"/>
      <c r="X67" s="2292"/>
      <c r="Y67" s="2292"/>
      <c r="Z67" s="2292"/>
      <c r="AA67" s="2292"/>
      <c r="AB67" s="2292"/>
      <c r="AC67" s="2292"/>
      <c r="AD67" s="2292"/>
      <c r="AE67" s="2292"/>
      <c r="AF67" s="2292"/>
      <c r="AG67" s="2292"/>
      <c r="AH67" s="2292"/>
      <c r="AI67" s="2292"/>
      <c r="AJ67" s="2292"/>
      <c r="AK67" s="2292"/>
      <c r="AL67" s="2292"/>
      <c r="AM67" s="2292"/>
      <c r="AN67" s="2292"/>
      <c r="AO67" s="2292"/>
      <c r="AP67" s="2292"/>
      <c r="AQ67" s="2292"/>
      <c r="AR67" s="2292"/>
      <c r="AS67" s="2292"/>
      <c r="AT67" s="2292"/>
      <c r="AU67" s="2292"/>
      <c r="AV67" s="2292"/>
      <c r="AW67" s="2292"/>
      <c r="AX67" s="2292"/>
      <c r="AY67" s="2292"/>
      <c r="AZ67" s="2292"/>
      <c r="BA67" s="2292"/>
      <c r="BB67" s="2292"/>
      <c r="BC67" s="2292"/>
      <c r="BI67" s="1162">
        <v>19</v>
      </c>
    </row>
    <row customHeight="1" ht="14.699999999999998">
      <c r="O68" s="544"/>
      <c r="BI68" s="1162">
        <v>14</v>
      </c>
    </row>
    <row customHeight="1" ht="14.25" hidden="1">
      <c r="A69" s="1167" t="s">
        <v>82</v>
      </c>
      <c r="B69" s="1167">
        <v>0</v>
      </c>
      <c r="C69" s="1167">
        <v>0</v>
      </c>
      <c r="D69" s="1167">
        <v>0</v>
      </c>
      <c r="E69" s="1167">
        <v>0</v>
      </c>
      <c r="F69" s="1167">
        <v>0</v>
      </c>
      <c r="G69" s="1167">
        <v>0</v>
      </c>
      <c r="H69" s="1167">
        <v>0</v>
      </c>
      <c r="I69" s="1167">
        <v>0</v>
      </c>
      <c r="J69" s="1167">
        <v>0</v>
      </c>
      <c r="K69" s="1167">
        <v>0</v>
      </c>
      <c r="L69" s="1468">
        <v>0</v>
      </c>
      <c r="M69" s="1369">
        <v>0</v>
      </c>
      <c r="N69" s="1369">
        <v>0</v>
      </c>
      <c r="O69" s="1369">
        <v>0</v>
      </c>
      <c r="P69" s="1369">
        <v>0</v>
      </c>
      <c r="Q69" s="1378">
        <v>0</v>
      </c>
      <c r="R69" s="351">
        <v>3</v>
      </c>
      <c r="S69" s="588">
        <v>12</v>
      </c>
      <c r="T69" s="1162">
        <v>31</v>
      </c>
      <c r="U69" s="1162">
        <v>0</v>
      </c>
      <c r="V69" s="1162">
        <v>0</v>
      </c>
      <c r="W69" s="1162">
        <v>0</v>
      </c>
      <c r="X69" s="1162">
        <v>0</v>
      </c>
      <c r="Y69" s="1162">
        <v>0</v>
      </c>
      <c r="Z69" s="1162">
        <v>0</v>
      </c>
      <c r="AA69" s="1162">
        <v>0</v>
      </c>
      <c r="AB69" s="1162">
        <v>0</v>
      </c>
      <c r="AC69" s="1162">
        <v>0</v>
      </c>
      <c r="AD69" s="1162">
        <v>3</v>
      </c>
      <c r="AE69" s="1162">
        <v>3</v>
      </c>
      <c r="AF69" s="1162">
        <v>3</v>
      </c>
      <c r="AG69" s="1162">
        <v>24</v>
      </c>
      <c r="AH69" s="1162">
        <v>3</v>
      </c>
      <c r="AI69" s="1162">
        <v>3</v>
      </c>
      <c r="AJ69" s="1162">
        <v>3</v>
      </c>
      <c r="AK69" s="1162">
        <v>24</v>
      </c>
      <c r="AL69" s="1162">
        <v>3</v>
      </c>
      <c r="AM69" s="1162">
        <v>3</v>
      </c>
      <c r="AN69" s="1162">
        <v>3</v>
      </c>
      <c r="AO69" s="1162">
        <v>18</v>
      </c>
      <c r="AP69" s="1162">
        <v>3</v>
      </c>
      <c r="AQ69" s="1162">
        <v>3</v>
      </c>
      <c r="AR69" s="1162">
        <v>3</v>
      </c>
      <c r="AS69" s="1162">
        <v>18</v>
      </c>
      <c r="AT69" s="1162">
        <v>21</v>
      </c>
      <c r="AU69" s="1162">
        <v>21</v>
      </c>
      <c r="AV69" s="1162">
        <v>21</v>
      </c>
      <c r="AW69" s="1162">
        <v>21</v>
      </c>
      <c r="AX69" s="1162">
        <v>11</v>
      </c>
      <c r="AY69" s="1162">
        <v>3</v>
      </c>
      <c r="AZ69" s="1162">
        <v>11</v>
      </c>
      <c r="BA69" s="1162">
        <v>0</v>
      </c>
      <c r="BB69" s="1162">
        <v>4</v>
      </c>
      <c r="BC69" s="1162">
        <v>115</v>
      </c>
      <c r="BD69" s="518">
        <v>10</v>
      </c>
      <c r="BE69" s="518">
        <v>10</v>
      </c>
      <c r="BF69" s="518">
        <v>10</v>
      </c>
      <c r="BG69" s="518">
        <v>10</v>
      </c>
      <c r="BH69" s="518">
        <v>10</v>
      </c>
      <c r="BI69" s="1162">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5A3D0B-138F-602F-6A35-1BA9F7A0E53A}"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29" style="1642" width="24.7109375" customWidth="1"/>
    <col min="30" max="31" style="1642" width="24.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22.5" hidden="1">
      <c r="X1" s="334"/>
      <c r="Y1" s="334"/>
      <c r="AE1" s="334"/>
      <c r="AF1" s="334"/>
      <c r="AQ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500">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51"/>
      <c r="AK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7"/>
      <c r="AN2" s="507" t="str">
        <f>IF(T2="","",T2)</f>
        <v>Наименование тарифа</v>
      </c>
      <c r="AO2" s="507"/>
      <c r="AP2" s="507"/>
      <c r="AQ2" s="1162">
        <v>0</v>
      </c>
    </row>
    <row customHeight="1" ht="23.25" hidden="1">
      <c r="A3" s="1370"/>
      <c r="B3" s="1370"/>
      <c r="C3" s="1370"/>
      <c r="D3" s="1370"/>
      <c r="E3" s="2266"/>
      <c r="F3" s="2265">
        <v>1</v>
      </c>
      <c r="G3" s="1370"/>
      <c r="H3" s="1370"/>
      <c r="I3" s="1370"/>
      <c r="J3" s="1370"/>
      <c r="K3" s="1370"/>
      <c r="L3" s="1371"/>
      <c r="M3" s="1372"/>
      <c r="N3" s="1372"/>
      <c r="O3" s="1372"/>
      <c r="P3" s="1494"/>
      <c r="Q3" s="359"/>
      <c r="R3" s="360"/>
      <c r="S3" s="1500">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51"/>
      <c r="AK3" s="1265" t="s">
        <v>561</v>
      </c>
      <c r="AM3" s="507"/>
      <c r="AN3" s="507" t="str">
        <f>IF(T3="","",T3)</f>
        <v>Территория действия тарифа</v>
      </c>
      <c r="AO3" s="507"/>
      <c r="AP3" s="507"/>
      <c r="AQ3" s="1162">
        <v>0</v>
      </c>
    </row>
    <row customHeight="1" ht="23.25" hidden="1">
      <c r="A4" s="1370"/>
      <c r="B4" s="1370"/>
      <c r="C4" s="1370"/>
      <c r="D4" s="1370"/>
      <c r="E4" s="2266"/>
      <c r="F4" s="2266"/>
      <c r="G4" s="2265">
        <v>1</v>
      </c>
      <c r="H4" s="1370"/>
      <c r="I4" s="1370"/>
      <c r="J4" s="1370"/>
      <c r="K4" s="1370"/>
      <c r="L4" s="1371"/>
      <c r="M4" s="1372"/>
      <c r="N4" s="1372"/>
      <c r="O4" s="1372"/>
      <c r="P4" s="361"/>
      <c r="Q4" s="359"/>
      <c r="R4" s="360"/>
      <c r="S4" s="1500">
        <f>INDEX(PT_DIFFERENTIATION_NUM_CS,MATCH(C4,PT_DIFFERENTIATION_CS_ID,0))</f>
      </c>
      <c r="T4" s="316" t="s">
        <v>678</v>
      </c>
      <c r="U4" s="307"/>
      <c r="V4" s="2249"/>
      <c r="W4" s="2250"/>
      <c r="X4" s="2250"/>
      <c r="Y4" s="2250"/>
      <c r="Z4" s="2250"/>
      <c r="AA4" s="2250"/>
      <c r="AB4" s="2251"/>
      <c r="AC4" s="2249">
        <f>INDEX(PT_DIFFERENTIATION_CS,MATCH(C4,PT_DIFFERENTIATION_CS_ID,0))</f>
      </c>
      <c r="AD4" s="2250"/>
      <c r="AE4" s="2250"/>
      <c r="AF4" s="2250"/>
      <c r="AG4" s="2250"/>
      <c r="AH4" s="2250"/>
      <c r="AI4" s="2250"/>
      <c r="AJ4" s="2251"/>
      <c r="AK4" s="1265" t="s">
        <v>679</v>
      </c>
      <c r="AM4" s="507"/>
      <c r="AN4" s="507" t="str">
        <f>IF(T4="","",T4)</f>
        <v>Наименование централизованной системы водоотведения</v>
      </c>
      <c r="AO4" s="507"/>
      <c r="AP4" s="507"/>
      <c r="AQ4" s="1162">
        <v>0</v>
      </c>
    </row>
    <row customHeight="1" ht="23.25" hidden="1">
      <c r="A5" s="1370"/>
      <c r="B5" s="1370"/>
      <c r="C5" s="1370"/>
      <c r="D5" s="1370"/>
      <c r="E5" s="2266"/>
      <c r="F5" s="2266"/>
      <c r="G5" s="2266"/>
      <c r="H5" s="2266"/>
      <c r="I5" s="2263">
        <f>S4&amp;".1"</f>
      </c>
      <c r="J5" s="1370"/>
      <c r="K5" s="1370"/>
      <c r="L5" s="1371"/>
      <c r="P5" s="2264">
        <v>1</v>
      </c>
      <c r="Q5" s="1488"/>
      <c r="R5" s="363"/>
      <c r="S5" s="1500">
        <f>$I5</f>
      </c>
      <c r="T5" s="292" t="s">
        <v>643</v>
      </c>
      <c r="U5" s="307"/>
      <c r="V5" s="2357"/>
      <c r="W5" s="2358"/>
      <c r="X5" s="2358"/>
      <c r="Y5" s="2358"/>
      <c r="Z5" s="2358"/>
      <c r="AA5" s="2358"/>
      <c r="AB5" s="2359"/>
      <c r="AC5" s="2360"/>
      <c r="AD5" s="2361"/>
      <c r="AE5" s="2361"/>
      <c r="AF5" s="2361"/>
      <c r="AG5" s="2361"/>
      <c r="AH5" s="2361"/>
      <c r="AI5" s="2361"/>
      <c r="AJ5" s="2362"/>
      <c r="AK5" s="1265" t="s">
        <v>644</v>
      </c>
      <c r="AM5" s="507"/>
      <c r="AN5" s="507" t="str">
        <f>IF(T5="","",T5)</f>
        <v>Наименование признака дифференциации</v>
      </c>
      <c r="AO5" s="507"/>
      <c r="AP5" s="507"/>
      <c r="AQ5" s="1162">
        <v>0</v>
      </c>
    </row>
    <row customHeight="1" ht="23.25" hidden="1">
      <c r="A6" s="1370"/>
      <c r="B6" s="1370"/>
      <c r="C6" s="1370"/>
      <c r="D6" s="1370"/>
      <c r="E6" s="2266"/>
      <c r="F6" s="2266"/>
      <c r="G6" s="2266"/>
      <c r="H6" s="2266"/>
      <c r="I6" s="2293"/>
      <c r="J6" s="2263">
        <f>I5&amp;".1"</f>
      </c>
      <c r="K6" s="1370"/>
      <c r="L6" s="1371" t="s">
        <v>569</v>
      </c>
      <c r="P6" s="2264"/>
      <c r="Q6" s="2264">
        <v>1</v>
      </c>
      <c r="R6" s="364"/>
      <c r="S6" s="1500">
        <f>$J6</f>
      </c>
      <c r="T6" s="293" t="s">
        <v>570</v>
      </c>
      <c r="U6" s="307"/>
      <c r="V6" s="2252"/>
      <c r="W6" s="2253"/>
      <c r="X6" s="2253"/>
      <c r="Y6" s="2253"/>
      <c r="Z6" s="2253"/>
      <c r="AA6" s="2253"/>
      <c r="AB6" s="2254"/>
      <c r="AC6" s="2252"/>
      <c r="AD6" s="2253"/>
      <c r="AE6" s="2253"/>
      <c r="AF6" s="2253"/>
      <c r="AG6" s="2253"/>
      <c r="AH6" s="2253"/>
      <c r="AI6" s="2253"/>
      <c r="AJ6" s="2254"/>
      <c r="AK6" s="1314" t="s">
        <v>645</v>
      </c>
      <c r="AM6" s="507"/>
      <c r="AN6" s="507" t="str">
        <f>IF(T6="","",T6)</f>
        <v>Группа потребителей</v>
      </c>
      <c r="AO6" s="507"/>
      <c r="AP6" s="507"/>
      <c r="AQ6" s="1162">
        <v>0</v>
      </c>
    </row>
    <row customHeight="1" ht="23.25" hidden="1">
      <c r="A7" s="1370"/>
      <c r="B7" s="1370"/>
      <c r="C7" s="1370"/>
      <c r="D7" s="1370"/>
      <c r="E7" s="2266"/>
      <c r="F7" s="2266"/>
      <c r="G7" s="2266"/>
      <c r="H7" s="2266"/>
      <c r="I7" s="2293"/>
      <c r="J7" s="2293"/>
      <c r="K7" s="2263">
        <f>J6&amp;".1"</f>
      </c>
      <c r="L7" s="1371"/>
      <c r="P7" s="2264"/>
      <c r="Q7" s="2264"/>
      <c r="R7" s="364">
        <v>1</v>
      </c>
      <c r="S7" s="1500">
        <f>$K7</f>
      </c>
      <c r="T7" s="1444"/>
      <c r="U7" s="307"/>
      <c r="V7" s="758"/>
      <c r="W7" s="758"/>
      <c r="X7" s="1264"/>
      <c r="Y7" s="2272"/>
      <c r="Z7" s="2114" t="s">
        <v>66</v>
      </c>
      <c r="AA7" s="2272"/>
      <c r="AB7" s="2114" t="s">
        <v>66</v>
      </c>
      <c r="AC7" s="758"/>
      <c r="AD7" s="758"/>
      <c r="AE7" s="1264"/>
      <c r="AF7" s="2272"/>
      <c r="AG7" s="2114" t="s">
        <v>66</v>
      </c>
      <c r="AH7" s="2294"/>
      <c r="AI7" s="2114" t="s">
        <v>66</v>
      </c>
      <c r="AJ7" s="1445"/>
      <c r="AK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8">
        <f>STRCHECKDATE(V8:AJ8)</f>
      </c>
      <c r="AM7" s="507"/>
      <c r="AN7" s="507" t="str">
        <f>IF(T7="","",T7)</f>
        <v/>
      </c>
      <c r="AO7" s="507"/>
      <c r="AP7" s="507"/>
      <c r="AQ7" s="1162">
        <v>0</v>
      </c>
    </row>
    <row customHeight="1" ht="14.25" hidden="1">
      <c r="A8" s="1370"/>
      <c r="B8" s="1370"/>
      <c r="C8" s="1370"/>
      <c r="D8" s="1370"/>
      <c r="E8" s="2266"/>
      <c r="F8" s="2266"/>
      <c r="G8" s="2266"/>
      <c r="H8" s="2266"/>
      <c r="I8" s="2293"/>
      <c r="J8" s="2293"/>
      <c r="K8" s="2263"/>
      <c r="L8" s="1371"/>
      <c r="P8" s="2264"/>
      <c r="Q8" s="2264"/>
      <c r="R8" s="364"/>
      <c r="S8" s="1497"/>
      <c r="T8" s="307"/>
      <c r="U8" s="307"/>
      <c r="V8" s="332"/>
      <c r="W8" s="332"/>
      <c r="X8" s="335" t="str">
        <f>Y7&amp;"-"&amp;AA7</f>
        <v>-</v>
      </c>
      <c r="Y8" s="2273"/>
      <c r="Z8" s="2114"/>
      <c r="AA8" s="2273"/>
      <c r="AB8" s="2114"/>
      <c r="AC8" s="332"/>
      <c r="AD8" s="332"/>
      <c r="AE8" s="335" t="str">
        <f>AF7&amp;"-"&amp;AH7</f>
        <v>-</v>
      </c>
      <c r="AF8" s="2273"/>
      <c r="AG8" s="2114"/>
      <c r="AH8" s="2295"/>
      <c r="AI8" s="2114"/>
      <c r="AJ8" s="1446"/>
      <c r="AK8" s="2356"/>
      <c r="AM8" s="507"/>
      <c r="AN8" s="507" t="str">
        <f>IF(T8="","",T8)</f>
        <v/>
      </c>
      <c r="AO8" s="507"/>
      <c r="AP8" s="507"/>
      <c r="AQ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374"/>
      <c r="AK9" s="1265" t="s">
        <v>647</v>
      </c>
      <c r="AM9" s="507"/>
      <c r="AN9" s="507" t="str">
        <f>IF(T9="","",T9)</f>
        <v>Добавить значение признака дифференциации</v>
      </c>
      <c r="AO9" s="507"/>
      <c r="AP9" s="507"/>
      <c r="AQ9" s="1162">
        <v>0</v>
      </c>
    </row>
    <row customHeight="1" ht="21" hidden="1">
      <c r="A10" s="1370"/>
      <c r="B10" s="1370"/>
      <c r="C10" s="1370"/>
      <c r="D10" s="1370"/>
      <c r="E10" s="2266"/>
      <c r="F10" s="2266"/>
      <c r="G10" s="2266"/>
      <c r="H10" s="2266"/>
      <c r="I10" s="2263"/>
      <c r="J10" s="1370"/>
      <c r="K10" s="1370"/>
      <c r="L10" s="1371"/>
      <c r="P10" s="2264"/>
      <c r="Q10" s="1488"/>
      <c r="R10" s="363"/>
      <c r="S10" s="1285"/>
      <c r="T10" s="372" t="s">
        <v>575</v>
      </c>
      <c r="U10" s="374"/>
      <c r="V10" s="374"/>
      <c r="W10" s="374"/>
      <c r="X10" s="374"/>
      <c r="Y10" s="374"/>
      <c r="Z10" s="374"/>
      <c r="AA10" s="374"/>
      <c r="AB10" s="373"/>
      <c r="AC10" s="374"/>
      <c r="AD10" s="374"/>
      <c r="AE10" s="374"/>
      <c r="AF10" s="374"/>
      <c r="AG10" s="374"/>
      <c r="AH10" s="374"/>
      <c r="AI10" s="373"/>
      <c r="AJ10" s="374"/>
      <c r="AK10" s="1447"/>
      <c r="AM10" s="507"/>
      <c r="AN10" s="507" t="str">
        <f>IF(T10="","",T10)</f>
        <v>Добавить группу потребителей</v>
      </c>
      <c r="AO10" s="507"/>
      <c r="AP10" s="507"/>
      <c r="AQ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374"/>
      <c r="AK11" s="310"/>
      <c r="AM11" s="507"/>
      <c r="AN11" s="507" t="str">
        <f>IF(T11="","",T11)</f>
        <v>Добавить наименование признака дифференциации</v>
      </c>
      <c r="AO11" s="507"/>
      <c r="AP11" s="507"/>
      <c r="AQ11" s="1162">
        <v>0</v>
      </c>
    </row>
    <row s="1649" customFormat="1" customHeight="1" ht="14.25" hidden="1">
      <c r="A12" s="1350"/>
      <c r="B12" s="1350"/>
      <c r="C12" s="1321"/>
      <c r="D12" s="1321"/>
      <c r="E12" s="2266"/>
      <c r="F12" s="2265"/>
      <c r="G12" s="1321"/>
      <c r="H12" s="1321"/>
      <c r="I12" s="1321"/>
      <c r="J12" s="1321"/>
      <c r="K12" s="1321"/>
      <c r="L12" s="1501"/>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M12" s="796"/>
      <c r="AN12" s="796" t="str">
        <f>IF(T12="","",T12)</f>
        <v>Добавить централизованную систему для дифференциации</v>
      </c>
      <c r="AO12" s="796"/>
      <c r="AP12" s="796"/>
      <c r="AQ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M13" s="507"/>
      <c r="AN13" s="507" t="str">
        <f>IF(T13="","",T13)</f>
        <v>Добавить территорию для дифференциации</v>
      </c>
      <c r="AO13" s="507"/>
      <c r="AP13" s="507"/>
      <c r="AQ13" s="518">
        <v>0</v>
      </c>
    </row>
    <row customHeight="1" ht="14.25" hidden="1">
      <c r="AB14" s="334"/>
      <c r="AI14" s="334"/>
      <c r="AQ14" s="1162">
        <v>0</v>
      </c>
    </row>
    <row customHeight="1" ht="14.25" hidden="1">
      <c r="AC15" s="1367"/>
      <c r="AD15" s="1367"/>
      <c r="AE15" s="1368"/>
      <c r="AF15" s="2274"/>
      <c r="AG15" s="2275" t="s">
        <v>66</v>
      </c>
      <c r="AH15" s="2274"/>
      <c r="AI15" s="2275" t="s">
        <v>66</v>
      </c>
      <c r="AQ15" s="1162">
        <v>0</v>
      </c>
    </row>
    <row customHeight="1" ht="14.25" hidden="1">
      <c r="AC16" s="1367"/>
      <c r="AD16" s="1367"/>
      <c r="AE16" s="335" t="str">
        <f>AF15&amp;"-"&amp;AH15</f>
        <v>-</v>
      </c>
      <c r="AF16" s="2275"/>
      <c r="AG16" s="2275"/>
      <c r="AH16" s="2275"/>
      <c r="AI16" s="2275"/>
      <c r="AQ16" s="1162">
        <v>0</v>
      </c>
    </row>
    <row customHeight="1" ht="14.25" hidden="1">
      <c r="AI17" s="334"/>
      <c r="AQ17" s="1162">
        <v>0</v>
      </c>
    </row>
    <row s="1373" customFormat="1" customHeight="1" ht="22.5" hidden="1">
      <c r="L18" s="1485"/>
      <c r="M18" s="1369"/>
      <c r="N18" s="1369"/>
      <c r="O18" s="1374" t="s">
        <v>578</v>
      </c>
      <c r="P18" s="1369"/>
      <c r="Q18" s="1378"/>
      <c r="R18" s="1378"/>
      <c r="S18" s="736"/>
      <c r="Y18" s="1374"/>
      <c r="AA18" s="1374"/>
      <c r="AB18" s="1373"/>
      <c r="AF18" s="1374"/>
      <c r="AH18" s="1374"/>
      <c r="AI18" s="1373"/>
      <c r="AL18" s="518"/>
      <c r="AM18" s="518"/>
      <c r="AN18" s="518"/>
      <c r="AO18" s="518"/>
      <c r="AP18" s="518"/>
      <c r="AQ18" s="1167">
        <v>0</v>
      </c>
    </row>
    <row s="1373" customFormat="1" customHeight="1" ht="14.25" hidden="1">
      <c r="L19" s="1485"/>
      <c r="M19" s="1369"/>
      <c r="N19" s="1369"/>
      <c r="O19" s="1369"/>
      <c r="P19" s="1369"/>
      <c r="Q19" s="1378"/>
      <c r="R19" s="1378"/>
      <c r="S19" s="736"/>
      <c r="AB19" s="1373"/>
      <c r="AI19" s="1373"/>
      <c r="AL19" s="518"/>
      <c r="AM19" s="518"/>
      <c r="AN19" s="518"/>
      <c r="AO19" s="518"/>
      <c r="AP19" s="518"/>
      <c r="AQ19" s="1167">
        <v>0</v>
      </c>
    </row>
    <row s="1373" customFormat="1" customHeight="1" ht="12" hidden="1">
      <c r="L20" s="1485"/>
      <c r="M20" s="1369"/>
      <c r="N20" s="1369"/>
      <c r="O20" s="1371" t="s">
        <v>579</v>
      </c>
      <c r="P20" s="1369"/>
      <c r="Q20" s="1449"/>
      <c r="R20" s="1449"/>
      <c r="S20" s="736"/>
      <c r="T20" s="1167" t="s">
        <v>580</v>
      </c>
      <c r="Z20" s="193" t="s">
        <v>581</v>
      </c>
      <c r="AB20" s="193" t="s">
        <v>582</v>
      </c>
      <c r="AC20" s="1167" t="s">
        <v>580</v>
      </c>
      <c r="AG20" s="193" t="s">
        <v>583</v>
      </c>
      <c r="AI20" s="193" t="s">
        <v>582</v>
      </c>
      <c r="AQ20" s="1167">
        <v>0</v>
      </c>
    </row>
    <row customHeight="1" ht="14.25" hidden="1">
      <c r="O21" s="1371"/>
      <c r="AQ21" s="1162">
        <v>0</v>
      </c>
    </row>
    <row customHeight="1" ht="14.25" hidden="1">
      <c r="O22" s="1371"/>
      <c r="AQ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Q23" s="1162">
        <v>14</v>
      </c>
    </row>
    <row customHeight="1" ht="14.699999999999998">
      <c r="Q24" s="383"/>
      <c r="R24" s="383"/>
      <c r="S24" s="2255"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5"/>
      <c r="U24" s="2255"/>
      <c r="V24" s="2255"/>
      <c r="W24" s="2255"/>
      <c r="X24" s="2255"/>
      <c r="Y24" s="2255"/>
      <c r="Z24" s="2255"/>
      <c r="AA24" s="2255"/>
      <c r="AB24" s="2255"/>
      <c r="AC24" s="2255"/>
      <c r="AD24" s="2255"/>
      <c r="AE24" s="2255"/>
      <c r="AF24" s="2255"/>
      <c r="AG24" s="2255"/>
      <c r="AH24" s="2255"/>
      <c r="AI24" s="1250"/>
      <c r="AQ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516"/>
      <c r="AQ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333"/>
      <c r="AK27" s="287"/>
      <c r="AL27" s="375"/>
      <c r="AM27" s="375"/>
      <c r="AN27" s="375"/>
      <c r="AO27" s="375"/>
      <c r="AP27" s="375"/>
      <c r="AQ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333"/>
      <c r="AK28" s="287"/>
      <c r="AL28" s="375"/>
      <c r="AM28" s="375"/>
      <c r="AN28" s="375"/>
      <c r="AO28" s="375"/>
      <c r="AP28" s="375"/>
      <c r="AQ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333"/>
      <c r="AK29" s="287"/>
      <c r="AL29" s="375"/>
      <c r="AM29" s="375"/>
      <c r="AN29" s="375"/>
      <c r="AO29" s="375"/>
      <c r="AP29" s="375"/>
      <c r="AQ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333"/>
      <c r="AK30" s="287"/>
      <c r="AL30" s="375"/>
      <c r="AM30" s="375"/>
      <c r="AN30" s="375"/>
      <c r="AO30" s="375"/>
      <c r="AP30" s="375"/>
      <c r="AQ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516"/>
      <c r="AQ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333"/>
      <c r="AK32" s="287"/>
      <c r="AL32" s="375"/>
      <c r="AM32" s="375"/>
      <c r="AN32" s="375"/>
      <c r="AO32" s="375"/>
      <c r="AP32" s="375"/>
      <c r="AQ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333"/>
      <c r="AK33" s="287"/>
      <c r="AL33" s="375"/>
      <c r="AM33" s="375"/>
      <c r="AN33" s="375"/>
      <c r="AO33" s="375"/>
      <c r="AP33" s="375"/>
      <c r="AQ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95"/>
      <c r="V34" s="333"/>
      <c r="W34" s="333"/>
      <c r="X34" s="333"/>
      <c r="Y34" s="333"/>
      <c r="Z34" s="333"/>
      <c r="AA34" s="333"/>
      <c r="AB34" s="285" t="s">
        <v>588</v>
      </c>
      <c r="AC34" s="333"/>
      <c r="AD34" s="333"/>
      <c r="AE34" s="333"/>
      <c r="AF34" s="333"/>
      <c r="AG34" s="333"/>
      <c r="AH34" s="333"/>
      <c r="AI34" s="285" t="s">
        <v>588</v>
      </c>
      <c r="AL34" s="375"/>
      <c r="AM34" s="375"/>
      <c r="AN34" s="375"/>
      <c r="AO34" s="375"/>
      <c r="AP34" s="375"/>
      <c r="AQ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Q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t="s">
        <v>464</v>
      </c>
      <c r="AQ36" s="1162">
        <v>14</v>
      </c>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287" t="s">
        <v>593</v>
      </c>
      <c r="AK37" s="2134"/>
      <c r="AQ37" s="1162">
        <v>14</v>
      </c>
    </row>
    <row customHeight="1" ht="35.699999999999996">
      <c r="Q38" s="383"/>
      <c r="R38" s="383"/>
      <c r="S38" s="2280"/>
      <c r="T38" s="2216"/>
      <c r="U38" s="1038"/>
      <c r="V38" s="1490" t="s">
        <v>649</v>
      </c>
      <c r="W38" s="2269" t="s">
        <v>596</v>
      </c>
      <c r="X38" s="2270"/>
      <c r="Y38" s="2269" t="s">
        <v>597</v>
      </c>
      <c r="Z38" s="2276"/>
      <c r="AA38" s="2270"/>
      <c r="AB38" s="2285"/>
      <c r="AC38" s="1490" t="s">
        <v>649</v>
      </c>
      <c r="AD38" s="2269" t="s">
        <v>596</v>
      </c>
      <c r="AE38" s="2270"/>
      <c r="AF38" s="2269" t="s">
        <v>597</v>
      </c>
      <c r="AG38" s="2276"/>
      <c r="AH38" s="2270"/>
      <c r="AI38" s="2285"/>
      <c r="AJ38" s="2288"/>
      <c r="AK38" s="2134"/>
      <c r="AQ38" s="1162">
        <v>34</v>
      </c>
    </row>
    <row customHeight="1" ht="90.3">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490" t="s">
        <v>680</v>
      </c>
      <c r="W39" s="1229" t="s">
        <v>681</v>
      </c>
      <c r="X39" s="1229" t="s">
        <v>654</v>
      </c>
      <c r="Y39" s="1496" t="s">
        <v>607</v>
      </c>
      <c r="Z39" s="2277" t="s">
        <v>608</v>
      </c>
      <c r="AA39" s="2278"/>
      <c r="AB39" s="2286"/>
      <c r="AC39" s="1490" t="s">
        <v>680</v>
      </c>
      <c r="AD39" s="1229" t="s">
        <v>681</v>
      </c>
      <c r="AE39" s="1229" t="s">
        <v>654</v>
      </c>
      <c r="AF39" s="1496" t="s">
        <v>607</v>
      </c>
      <c r="AG39" s="2277" t="s">
        <v>608</v>
      </c>
      <c r="AH39" s="2278"/>
      <c r="AI39" s="2286"/>
      <c r="AJ39" s="2289"/>
      <c r="AK39" s="2134"/>
      <c r="AQ39" s="1162">
        <v>86</v>
      </c>
    </row>
    <row s="1648" customFormat="1" customHeight="1" ht="11.25" hidden="1">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489">
        <f>OFFSET(V40,0,-1)+1</f>
        <v>3</v>
      </c>
      <c r="W40" s="1489">
        <f>OFFSET(W40,0,-1)+1</f>
        <v>4</v>
      </c>
      <c r="X40" s="1489">
        <f>OFFSET(X40,0,-1)+1</f>
        <v>5</v>
      </c>
      <c r="Y40" s="1489">
        <f>OFFSET(Y40,0,-1)+1</f>
        <v>6</v>
      </c>
      <c r="Z40" s="2279">
        <f>OFFSET(Z40,0,-1)+1</f>
        <v>7</v>
      </c>
      <c r="AA40" s="2279"/>
      <c r="AB40" s="1489">
        <f>OFFSET(AB40,0,-2)+1</f>
        <v>8</v>
      </c>
      <c r="AC40" s="1489">
        <f>OFFSET(AC40,0,-1)+1</f>
        <v>9</v>
      </c>
      <c r="AD40" s="1489">
        <f>OFFSET(AD40,0,-1)+1</f>
        <v>10</v>
      </c>
      <c r="AE40" s="1489">
        <f>OFFSET(AE40,0,-1)+1</f>
        <v>11</v>
      </c>
      <c r="AF40" s="1489">
        <f>OFFSET(AF40,0,-1)+1</f>
        <v>12</v>
      </c>
      <c r="AG40" s="2279">
        <f>OFFSET(AG40,0,-1)+1</f>
        <v>13</v>
      </c>
      <c r="AH40" s="2279"/>
      <c r="AI40" s="1489">
        <f>OFFSET(AI40,0,-2)+1</f>
        <v>14</v>
      </c>
      <c r="AJ40" s="1252">
        <f>OFFSET(AJ40,0,-1)</f>
        <v>14</v>
      </c>
      <c r="AK40" s="1489">
        <f>OFFSET(AK40,0,-1)+1</f>
        <v>15</v>
      </c>
      <c r="AL40" s="518"/>
      <c r="AM40" s="518"/>
      <c r="AN40" s="518"/>
      <c r="AO40" s="518"/>
      <c r="AP40" s="518"/>
      <c r="AQ40" s="503">
        <v>0</v>
      </c>
    </row>
    <row customHeight="1" ht="24">
      <c r="A41" s="1370" t="s">
        <v>429</v>
      </c>
      <c r="B41" s="1370"/>
      <c r="C41" s="1370"/>
      <c r="D41" s="1370"/>
      <c r="E41" s="2265">
        <v>1</v>
      </c>
      <c r="F41" s="1370"/>
      <c r="G41" s="1370"/>
      <c r="H41" s="1370"/>
      <c r="I41" s="1370"/>
      <c r="J41" s="1370"/>
      <c r="K41" s="1370"/>
      <c r="L41" s="1371"/>
      <c r="M41" s="1372"/>
      <c r="N41" s="1372"/>
      <c r="O41" s="1372"/>
      <c r="P41" s="368"/>
      <c r="Q41" s="367"/>
      <c r="R41" s="362"/>
      <c r="S41" s="1500">
        <f>INDEX(PT_DIFFERENTIATION_NUM_NTAR,MATCH(A41,PT_DIFFERENTIATION_NTAR_ID,0))</f>
        <v>0</v>
      </c>
      <c r="T41" s="305" t="s">
        <v>215</v>
      </c>
      <c r="U41" s="307"/>
      <c r="V41" s="2249"/>
      <c r="W41" s="2250"/>
      <c r="X41" s="2250"/>
      <c r="Y41" s="2250"/>
      <c r="Z41" s="2250"/>
      <c r="AA41" s="2250"/>
      <c r="AB41" s="2251"/>
      <c r="AC41" s="2249" t="str">
        <f>INDEX(PT_DIFFERENTIATION_NTAR,MATCH(A41,PT_DIFFERENTIATION_NTAR_ID,0))</f>
        <v/>
      </c>
      <c r="AD41" s="2250"/>
      <c r="AE41" s="2250"/>
      <c r="AF41" s="2250"/>
      <c r="AG41" s="2250"/>
      <c r="AH41" s="2250"/>
      <c r="AI41" s="2250"/>
      <c r="AJ41" s="2251"/>
      <c r="AK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7"/>
      <c r="AN41" s="507" t="str">
        <f>IF(T41="","",T41)</f>
        <v>Наименование тарифа</v>
      </c>
      <c r="AO41" s="507"/>
      <c r="AP41" s="507"/>
      <c r="AQ41" s="1162">
        <v>23</v>
      </c>
    </row>
    <row customHeight="1" ht="24">
      <c r="A42" s="1370" t="s">
        <v>429</v>
      </c>
      <c r="B42" s="1370" t="s">
        <v>430</v>
      </c>
      <c r="C42" s="1370"/>
      <c r="D42" s="1370"/>
      <c r="E42" s="2266"/>
      <c r="F42" s="2265">
        <v>1</v>
      </c>
      <c r="G42" s="1370"/>
      <c r="H42" s="1370"/>
      <c r="I42" s="1370"/>
      <c r="J42" s="1370"/>
      <c r="K42" s="1370"/>
      <c r="L42" s="1371"/>
      <c r="M42" s="1372"/>
      <c r="N42" s="1372"/>
      <c r="O42" s="1372"/>
      <c r="P42" s="1494"/>
      <c r="Q42" s="359"/>
      <c r="R42" s="360"/>
      <c r="S42" s="1500" t="str">
        <f>INDEX(PT_DIFFERENTIATION_NUM_TER,MATCH(B42,PT_DIFFERENTIATION_TER_ID,0))</f>
        <v>.</v>
      </c>
      <c r="T42" s="315" t="s">
        <v>560</v>
      </c>
      <c r="U42" s="307"/>
      <c r="V42" s="2249"/>
      <c r="W42" s="2250"/>
      <c r="X42" s="2250"/>
      <c r="Y42" s="2250"/>
      <c r="Z42" s="2250"/>
      <c r="AA42" s="2250"/>
      <c r="AB42" s="2251"/>
      <c r="AC42" s="2249" t="str">
        <f>INDEX(PT_DIFFERENTIATION_TER,MATCH(B42,PT_DIFFERENTIATION_TER_ID,0))</f>
        <v/>
      </c>
      <c r="AD42" s="2250"/>
      <c r="AE42" s="2250"/>
      <c r="AF42" s="2250"/>
      <c r="AG42" s="2250"/>
      <c r="AH42" s="2250"/>
      <c r="AI42" s="2250"/>
      <c r="AJ42" s="2251"/>
      <c r="AK42" s="1265" t="s">
        <v>561</v>
      </c>
      <c r="AM42" s="507"/>
      <c r="AN42" s="507" t="str">
        <f>IF(T42="","",T42)</f>
        <v>Территория действия тарифа</v>
      </c>
      <c r="AO42" s="507"/>
      <c r="AP42" s="507"/>
      <c r="AQ42" s="1162">
        <v>23</v>
      </c>
    </row>
    <row customHeight="1" ht="24">
      <c r="A43" s="1370" t="s">
        <v>429</v>
      </c>
      <c r="B43" s="1370" t="s">
        <v>430</v>
      </c>
      <c r="C43" s="1370" t="s">
        <v>431</v>
      </c>
      <c r="D43" s="1370"/>
      <c r="E43" s="2266"/>
      <c r="F43" s="2266"/>
      <c r="G43" s="2265">
        <v>1</v>
      </c>
      <c r="H43" s="1370"/>
      <c r="I43" s="1370"/>
      <c r="J43" s="1370"/>
      <c r="K43" s="1370"/>
      <c r="L43" s="1371"/>
      <c r="M43" s="1372"/>
      <c r="N43" s="1372"/>
      <c r="O43" s="1372"/>
      <c r="P43" s="361"/>
      <c r="Q43" s="359"/>
      <c r="R43" s="360"/>
      <c r="S43" s="1500" t="str">
        <f>INDEX(PT_DIFFERENTIATION_NUM_CS,MATCH(C43,PT_DIFFERENTIATION_CS_ID,0))</f>
        <v>..</v>
      </c>
      <c r="T43" s="316" t="s">
        <v>678</v>
      </c>
      <c r="U43" s="307"/>
      <c r="V43" s="2249"/>
      <c r="W43" s="2250"/>
      <c r="X43" s="2250"/>
      <c r="Y43" s="2250"/>
      <c r="Z43" s="2250"/>
      <c r="AA43" s="2250"/>
      <c r="AB43" s="2251"/>
      <c r="AC43" s="2249" t="str">
        <f>INDEX(PT_DIFFERENTIATION_CS,MATCH(C43,PT_DIFFERENTIATION_CS_ID,0))</f>
        <v/>
      </c>
      <c r="AD43" s="2250"/>
      <c r="AE43" s="2250"/>
      <c r="AF43" s="2250"/>
      <c r="AG43" s="2250"/>
      <c r="AH43" s="2250"/>
      <c r="AI43" s="2250"/>
      <c r="AJ43" s="2251"/>
      <c r="AK43" s="1265" t="s">
        <v>679</v>
      </c>
      <c r="AM43" s="507"/>
      <c r="AN43" s="507" t="str">
        <f>IF(T43="","",T43)</f>
        <v>Наименование централизованной системы водоотведения</v>
      </c>
      <c r="AO43" s="507"/>
      <c r="AP43" s="507"/>
      <c r="AQ43" s="1162">
        <v>23</v>
      </c>
    </row>
    <row customHeight="1" ht="24">
      <c r="A44" s="1370" t="s">
        <v>429</v>
      </c>
      <c r="B44" s="1370" t="s">
        <v>430</v>
      </c>
      <c r="C44" s="1370" t="s">
        <v>431</v>
      </c>
      <c r="D44" s="1370" t="s">
        <v>682</v>
      </c>
      <c r="E44" s="2266"/>
      <c r="F44" s="2266"/>
      <c r="G44" s="2266"/>
      <c r="H44" s="2266"/>
      <c r="I44" s="2263" t="str">
        <f>S43&amp;".1"</f>
        <v>...1</v>
      </c>
      <c r="J44" s="1370"/>
      <c r="K44" s="1370"/>
      <c r="L44" s="1371"/>
      <c r="P44" s="2264">
        <v>1</v>
      </c>
      <c r="Q44" s="1488"/>
      <c r="R44" s="363"/>
      <c r="S44" s="1500" t="str">
        <f>$I44</f>
        <v>...1</v>
      </c>
      <c r="T44" s="292" t="s">
        <v>643</v>
      </c>
      <c r="U44" s="307"/>
      <c r="V44" s="2357"/>
      <c r="W44" s="2358"/>
      <c r="X44" s="2358"/>
      <c r="Y44" s="2358"/>
      <c r="Z44" s="2358"/>
      <c r="AA44" s="2358"/>
      <c r="AB44" s="2359"/>
      <c r="AC44" s="2360"/>
      <c r="AD44" s="2361"/>
      <c r="AE44" s="2361"/>
      <c r="AF44" s="2361"/>
      <c r="AG44" s="2361"/>
      <c r="AH44" s="2361"/>
      <c r="AI44" s="2361"/>
      <c r="AJ44" s="2362"/>
      <c r="AK44" s="1265" t="s">
        <v>644</v>
      </c>
      <c r="AM44" s="507"/>
      <c r="AN44" s="507" t="str">
        <f>IF(T44="","",T44)</f>
        <v>Наименование признака дифференциации</v>
      </c>
      <c r="AO44" s="507"/>
      <c r="AP44" s="507"/>
      <c r="AQ44" s="1162">
        <v>23</v>
      </c>
    </row>
    <row customHeight="1" ht="24">
      <c r="A45" s="1370" t="s">
        <v>429</v>
      </c>
      <c r="B45" s="1370" t="s">
        <v>430</v>
      </c>
      <c r="C45" s="1370" t="s">
        <v>431</v>
      </c>
      <c r="D45" s="1370" t="s">
        <v>682</v>
      </c>
      <c r="E45" s="2266"/>
      <c r="F45" s="2266"/>
      <c r="G45" s="2266"/>
      <c r="H45" s="2266"/>
      <c r="I45" s="2293"/>
      <c r="J45" s="2263" t="str">
        <f>I44&amp;".1"</f>
        <v>...1.1</v>
      </c>
      <c r="K45" s="1370"/>
      <c r="L45" s="1371" t="s">
        <v>569</v>
      </c>
      <c r="P45" s="2264"/>
      <c r="Q45" s="2264">
        <v>1</v>
      </c>
      <c r="R45" s="364"/>
      <c r="S45" s="1500" t="str">
        <f>$J45</f>
        <v>...1.1</v>
      </c>
      <c r="T45" s="293" t="s">
        <v>570</v>
      </c>
      <c r="U45" s="307"/>
      <c r="V45" s="2252"/>
      <c r="W45" s="2253"/>
      <c r="X45" s="2253"/>
      <c r="Y45" s="2253"/>
      <c r="Z45" s="2253"/>
      <c r="AA45" s="2253"/>
      <c r="AB45" s="2254"/>
      <c r="AC45" s="2252"/>
      <c r="AD45" s="2253"/>
      <c r="AE45" s="2253"/>
      <c r="AF45" s="2253"/>
      <c r="AG45" s="2253"/>
      <c r="AH45" s="2253"/>
      <c r="AI45" s="2253"/>
      <c r="AJ45" s="2254"/>
      <c r="AK45" s="1314" t="s">
        <v>645</v>
      </c>
      <c r="AM45" s="507"/>
      <c r="AN45" s="507" t="str">
        <f>IF(T45="","",T45)</f>
        <v>Группа потребителей</v>
      </c>
      <c r="AO45" s="507"/>
      <c r="AP45" s="507"/>
      <c r="AQ45" s="1162">
        <v>23</v>
      </c>
    </row>
    <row customHeight="1" ht="24">
      <c r="A46" s="1370" t="s">
        <v>429</v>
      </c>
      <c r="B46" s="1370" t="s">
        <v>430</v>
      </c>
      <c r="C46" s="1370" t="s">
        <v>431</v>
      </c>
      <c r="D46" s="1370" t="s">
        <v>682</v>
      </c>
      <c r="E46" s="2266"/>
      <c r="F46" s="2266"/>
      <c r="G46" s="2266"/>
      <c r="H46" s="2266"/>
      <c r="I46" s="2293"/>
      <c r="J46" s="2293"/>
      <c r="K46" s="2263" t="str">
        <f>J45&amp;".1"</f>
        <v>...1.1.1</v>
      </c>
      <c r="L46" s="1371"/>
      <c r="P46" s="2264"/>
      <c r="Q46" s="2264"/>
      <c r="R46" s="364">
        <v>1</v>
      </c>
      <c r="S46" s="1500" t="str">
        <f>$K46</f>
        <v>...1.1.1</v>
      </c>
      <c r="T46" s="1444"/>
      <c r="U46" s="307"/>
      <c r="V46" s="1367"/>
      <c r="W46" s="1367"/>
      <c r="X46" s="1368"/>
      <c r="Y46" s="2274"/>
      <c r="Z46" s="2275" t="s">
        <v>66</v>
      </c>
      <c r="AA46" s="2274"/>
      <c r="AB46" s="2275" t="s">
        <v>66</v>
      </c>
      <c r="AC46" s="758"/>
      <c r="AD46" s="758"/>
      <c r="AE46" s="1264"/>
      <c r="AF46" s="2272"/>
      <c r="AG46" s="2114" t="s">
        <v>66</v>
      </c>
      <c r="AH46" s="2294"/>
      <c r="AI46" s="2114" t="s">
        <v>19</v>
      </c>
      <c r="AJ46" s="1445"/>
      <c r="AK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8">
        <f>STRCHECKDATE(V47:AJ47)</f>
      </c>
      <c r="AM46" s="507"/>
      <c r="AN46" s="507" t="str">
        <f>IF(T46="","",T46)</f>
        <v/>
      </c>
      <c r="AO46" s="507"/>
      <c r="AP46" s="507"/>
      <c r="AQ46" s="1162">
        <v>23</v>
      </c>
    </row>
    <row customHeight="1" ht="0">
      <c r="A47" s="1370" t="s">
        <v>429</v>
      </c>
      <c r="B47" s="1370" t="s">
        <v>430</v>
      </c>
      <c r="C47" s="1370" t="s">
        <v>431</v>
      </c>
      <c r="D47" s="1370" t="s">
        <v>682</v>
      </c>
      <c r="E47" s="2266"/>
      <c r="F47" s="2266"/>
      <c r="G47" s="2266"/>
      <c r="H47" s="2266"/>
      <c r="I47" s="2293"/>
      <c r="J47" s="2293"/>
      <c r="K47" s="2263"/>
      <c r="L47" s="1371"/>
      <c r="P47" s="2264"/>
      <c r="Q47" s="2264"/>
      <c r="R47" s="364"/>
      <c r="S47" s="1497"/>
      <c r="T47" s="307"/>
      <c r="U47" s="307"/>
      <c r="V47" s="1367"/>
      <c r="W47" s="1367"/>
      <c r="X47" s="335" t="str">
        <f>Y46&amp;"-"&amp;AA46</f>
        <v>-</v>
      </c>
      <c r="Y47" s="2275"/>
      <c r="Z47" s="2275"/>
      <c r="AA47" s="2275"/>
      <c r="AB47" s="2275"/>
      <c r="AC47" s="332"/>
      <c r="AD47" s="332"/>
      <c r="AE47" s="335" t="str">
        <f>AF46&amp;"-"&amp;AH46</f>
        <v>-</v>
      </c>
      <c r="AF47" s="2273"/>
      <c r="AG47" s="2114"/>
      <c r="AH47" s="2295"/>
      <c r="AI47" s="2114"/>
      <c r="AJ47" s="1446"/>
      <c r="AK47" s="2356"/>
      <c r="AM47" s="507"/>
      <c r="AN47" s="507" t="str">
        <f>IF(T47="","",T47)</f>
        <v/>
      </c>
      <c r="AO47" s="507"/>
      <c r="AP47" s="507"/>
      <c r="AQ47" s="1162">
        <v>0</v>
      </c>
    </row>
    <row customHeight="1" ht="21">
      <c r="A48" s="1370" t="s">
        <v>429</v>
      </c>
      <c r="B48" s="1370" t="s">
        <v>430</v>
      </c>
      <c r="C48" s="1370" t="s">
        <v>431</v>
      </c>
      <c r="D48" s="1370" t="s">
        <v>682</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374"/>
      <c r="AK48" s="1265" t="s">
        <v>647</v>
      </c>
      <c r="AM48" s="507"/>
      <c r="AN48" s="507" t="str">
        <f>IF(T48="","",T48)</f>
        <v>Добавить значение признака дифференциации</v>
      </c>
      <c r="AO48" s="507"/>
      <c r="AP48" s="507"/>
      <c r="AQ48" s="1162">
        <v>20</v>
      </c>
    </row>
    <row customHeight="1" ht="22.049999999999997">
      <c r="A49" s="1370" t="s">
        <v>429</v>
      </c>
      <c r="B49" s="1370" t="s">
        <v>430</v>
      </c>
      <c r="C49" s="1370" t="s">
        <v>431</v>
      </c>
      <c r="D49" s="1370" t="s">
        <v>682</v>
      </c>
      <c r="E49" s="2266"/>
      <c r="F49" s="2266"/>
      <c r="G49" s="2266"/>
      <c r="H49" s="2266"/>
      <c r="I49" s="2263"/>
      <c r="J49" s="1370"/>
      <c r="K49" s="1370"/>
      <c r="L49" s="1371"/>
      <c r="P49" s="2264"/>
      <c r="Q49" s="1488"/>
      <c r="R49" s="363"/>
      <c r="S49" s="1285"/>
      <c r="T49" s="372" t="s">
        <v>575</v>
      </c>
      <c r="U49" s="374"/>
      <c r="V49" s="374"/>
      <c r="W49" s="374"/>
      <c r="X49" s="374"/>
      <c r="Y49" s="374"/>
      <c r="Z49" s="374"/>
      <c r="AA49" s="374"/>
      <c r="AB49" s="373"/>
      <c r="AC49" s="374"/>
      <c r="AD49" s="374"/>
      <c r="AE49" s="374"/>
      <c r="AF49" s="374"/>
      <c r="AG49" s="374"/>
      <c r="AH49" s="374"/>
      <c r="AI49" s="373"/>
      <c r="AJ49" s="374"/>
      <c r="AK49" s="1447"/>
      <c r="AM49" s="507"/>
      <c r="AN49" s="507" t="str">
        <f>IF(T49="","",T49)</f>
        <v>Добавить группу потребителей</v>
      </c>
      <c r="AO49" s="507"/>
      <c r="AP49" s="507"/>
      <c r="AQ49" s="1162">
        <v>21</v>
      </c>
    </row>
    <row customHeight="1" ht="22.049999999999997">
      <c r="A50" s="1370" t="s">
        <v>429</v>
      </c>
      <c r="B50" s="1370" t="s">
        <v>430</v>
      </c>
      <c r="C50" s="1370" t="s">
        <v>431</v>
      </c>
      <c r="D50" s="1370" t="s">
        <v>682</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374"/>
      <c r="AK50" s="310"/>
      <c r="AM50" s="507"/>
      <c r="AN50" s="507" t="str">
        <f>IF(T50="","",T50)</f>
        <v>Добавить наименование признака дифференциации</v>
      </c>
      <c r="AO50" s="507"/>
      <c r="AP50" s="507"/>
      <c r="AQ50" s="1162">
        <v>21</v>
      </c>
    </row>
    <row s="1649" customFormat="1" customHeight="1" ht="0">
      <c r="A51" s="1350" t="s">
        <v>429</v>
      </c>
      <c r="B51" s="1350" t="s">
        <v>430</v>
      </c>
      <c r="C51" s="1321"/>
      <c r="D51" s="1321"/>
      <c r="E51" s="2266"/>
      <c r="F51" s="2265"/>
      <c r="G51" s="1321"/>
      <c r="H51" s="1321"/>
      <c r="I51" s="1321"/>
      <c r="J51" s="1321"/>
      <c r="K51" s="1321"/>
      <c r="L51" s="1501"/>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M51" s="796"/>
      <c r="AN51" s="796" t="str">
        <f>IF(T51="","",T51)</f>
        <v>Добавить централизованную систему для дифференциации</v>
      </c>
      <c r="AO51" s="796"/>
      <c r="AP51" s="796"/>
      <c r="AQ51" s="525">
        <v>0</v>
      </c>
    </row>
    <row s="1649" customFormat="1" customHeight="1" ht="0">
      <c r="A52" s="1350" t="s">
        <v>429</v>
      </c>
      <c r="B52" s="1350"/>
      <c r="C52" s="1350"/>
      <c r="D52" s="1350"/>
      <c r="E52" s="2265"/>
      <c r="F52" s="1350"/>
      <c r="G52" s="1350"/>
      <c r="H52" s="1350"/>
      <c r="I52" s="1350"/>
      <c r="J52" s="1350"/>
      <c r="K52" s="1350"/>
      <c r="L52" s="1353"/>
      <c r="M52" s="1328"/>
      <c r="N52" s="1328"/>
      <c r="O52" s="525"/>
      <c r="P52" s="387"/>
      <c r="Q52" s="1351"/>
      <c r="R52" s="387"/>
      <c r="S52" s="1329"/>
      <c r="T52" s="1332" t="s">
        <v>390</v>
      </c>
      <c r="U52" s="1331"/>
      <c r="V52" s="1331"/>
      <c r="W52" s="1331"/>
      <c r="X52" s="1331"/>
      <c r="Y52" s="1331"/>
      <c r="Z52" s="1331"/>
      <c r="AA52" s="1331"/>
      <c r="AB52" s="1331"/>
      <c r="AC52" s="1331"/>
      <c r="AD52" s="1331"/>
      <c r="AE52" s="1331"/>
      <c r="AF52" s="1331"/>
      <c r="AG52" s="1331"/>
      <c r="AH52" s="1331"/>
      <c r="AI52" s="1331"/>
      <c r="AJ52" s="1331"/>
      <c r="AK52" s="1331"/>
      <c r="AM52" s="507"/>
      <c r="AN52" s="507" t="str">
        <f>IF(T52="","",T52)</f>
        <v>Добавить территорию для дифференциации</v>
      </c>
      <c r="AO52" s="507"/>
      <c r="AP52" s="507"/>
      <c r="AQ52" s="518">
        <v>0</v>
      </c>
    </row>
    <row s="1649" customFormat="1" customHeight="1" ht="0">
      <c r="A53" s="1321"/>
      <c r="B53" s="1321"/>
      <c r="C53" s="1321"/>
      <c r="D53" s="1321"/>
      <c r="E53" s="1350"/>
      <c r="F53" s="1321"/>
      <c r="G53" s="1321"/>
      <c r="H53" s="1321"/>
      <c r="I53" s="1321"/>
      <c r="J53" s="1321"/>
      <c r="K53" s="1321"/>
      <c r="L53" s="1501"/>
      <c r="M53" s="1328"/>
      <c r="N53" s="1328"/>
      <c r="P53" s="1323"/>
      <c r="Q53" s="1324"/>
      <c r="R53" s="1323"/>
      <c r="S53" s="1329"/>
      <c r="T53" s="1332" t="s">
        <v>391</v>
      </c>
      <c r="U53" s="1331"/>
      <c r="V53" s="1331"/>
      <c r="W53" s="1331"/>
      <c r="X53" s="1331"/>
      <c r="Y53" s="1331"/>
      <c r="Z53" s="1331"/>
      <c r="AA53" s="1331"/>
      <c r="AB53" s="1331"/>
      <c r="AC53" s="1331"/>
      <c r="AD53" s="1331"/>
      <c r="AE53" s="1331"/>
      <c r="AF53" s="1331"/>
      <c r="AG53" s="1331"/>
      <c r="AH53" s="1331"/>
      <c r="AI53" s="1331"/>
      <c r="AJ53" s="1331"/>
      <c r="AK53" s="1331"/>
      <c r="AM53" s="796"/>
      <c r="AN53" s="796" t="str">
        <f>IF(T53="","",T53)</f>
        <v>Добавить наименование тарифа</v>
      </c>
      <c r="AO53" s="796"/>
      <c r="AP53" s="796"/>
      <c r="AQ53" s="525">
        <v>0</v>
      </c>
    </row>
    <row customHeight="1" ht="11.549999999999999">
      <c r="M54" s="1167"/>
      <c r="N54" s="1167"/>
      <c r="O54" s="544"/>
      <c r="P54" s="1162"/>
      <c r="Q54" s="1162"/>
      <c r="R54" s="1162"/>
      <c r="S54" s="1162"/>
      <c r="AL54" s="1162"/>
      <c r="AM54" s="1162"/>
      <c r="AN54" s="1162"/>
      <c r="AO54" s="1162"/>
      <c r="AP54" s="1162"/>
      <c r="AQ54" s="1162">
        <v>11</v>
      </c>
    </row>
    <row customHeight="1" ht="14.699999999999998">
      <c r="O55" s="544"/>
      <c r="S55" s="1260"/>
      <c r="T55" s="2292"/>
      <c r="U55" s="2292"/>
      <c r="V55" s="2292"/>
      <c r="W55" s="2292"/>
      <c r="X55" s="2292"/>
      <c r="Y55" s="2292"/>
      <c r="Z55" s="2292"/>
      <c r="AA55" s="2292"/>
      <c r="AB55" s="2292"/>
      <c r="AC55" s="2292"/>
      <c r="AD55" s="2292"/>
      <c r="AE55" s="2292"/>
      <c r="AF55" s="2292"/>
      <c r="AG55" s="2292"/>
      <c r="AH55" s="2292"/>
      <c r="AI55" s="2292"/>
      <c r="AJ55" s="2292"/>
      <c r="AK55" s="2292"/>
      <c r="AQ55" s="1162">
        <v>14</v>
      </c>
    </row>
    <row customHeight="1" ht="14.699999999999998">
      <c r="O56" s="544"/>
      <c r="AQ56" s="1162">
        <v>14</v>
      </c>
    </row>
    <row customHeight="1" ht="14.699999999999998">
      <c r="O57" s="544"/>
      <c r="S57" s="1260"/>
      <c r="T57" s="2292"/>
      <c r="U57" s="2292"/>
      <c r="V57" s="2292"/>
      <c r="W57" s="2292"/>
      <c r="X57" s="2292"/>
      <c r="Y57" s="2292"/>
      <c r="Z57" s="2292"/>
      <c r="AA57" s="2292"/>
      <c r="AB57" s="2292"/>
      <c r="AC57" s="2292"/>
      <c r="AD57" s="2292"/>
      <c r="AE57" s="2292"/>
      <c r="AF57" s="2292"/>
      <c r="AG57" s="2292"/>
      <c r="AH57" s="2292"/>
      <c r="AI57" s="2292"/>
      <c r="AJ57" s="2292"/>
      <c r="AK57" s="2292"/>
      <c r="AQ57" s="1162">
        <v>14</v>
      </c>
    </row>
    <row customHeight="1" ht="22.5" hidden="1">
      <c r="A58" s="1167" t="s">
        <v>82</v>
      </c>
      <c r="B58" s="1167">
        <v>0</v>
      </c>
      <c r="C58" s="1167">
        <v>0</v>
      </c>
      <c r="D58" s="1167">
        <v>0</v>
      </c>
      <c r="E58" s="1167">
        <v>0</v>
      </c>
      <c r="F58" s="1167">
        <v>0</v>
      </c>
      <c r="G58" s="1167">
        <v>0</v>
      </c>
      <c r="H58" s="1167">
        <v>0</v>
      </c>
      <c r="I58" s="1167">
        <v>0</v>
      </c>
      <c r="J58" s="1167">
        <v>0</v>
      </c>
      <c r="K58" s="1167">
        <v>0</v>
      </c>
      <c r="L58" s="1485">
        <v>0</v>
      </c>
      <c r="M58" s="1369">
        <v>0</v>
      </c>
      <c r="N58" s="1369">
        <v>0</v>
      </c>
      <c r="O58" s="1369">
        <v>0</v>
      </c>
      <c r="P58" s="1480">
        <v>3</v>
      </c>
      <c r="Q58" s="351">
        <v>3</v>
      </c>
      <c r="R58" s="351">
        <v>3</v>
      </c>
      <c r="S58" s="588">
        <v>12</v>
      </c>
      <c r="T58" s="1162">
        <v>35</v>
      </c>
      <c r="U58" s="1162">
        <v>0</v>
      </c>
      <c r="V58" s="1162">
        <v>0</v>
      </c>
      <c r="W58" s="1162">
        <v>0</v>
      </c>
      <c r="X58" s="1162">
        <v>0</v>
      </c>
      <c r="Y58" s="1162">
        <v>0</v>
      </c>
      <c r="Z58" s="1162">
        <v>0</v>
      </c>
      <c r="AA58" s="1162">
        <v>0</v>
      </c>
      <c r="AB58" s="1162">
        <v>0</v>
      </c>
      <c r="AC58" s="1162">
        <v>24</v>
      </c>
      <c r="AD58" s="1162">
        <v>24</v>
      </c>
      <c r="AE58" s="1162">
        <v>24</v>
      </c>
      <c r="AF58" s="1162">
        <v>11</v>
      </c>
      <c r="AG58" s="1162">
        <v>3</v>
      </c>
      <c r="AH58" s="1162">
        <v>11</v>
      </c>
      <c r="AI58" s="1162">
        <v>0</v>
      </c>
      <c r="AJ58" s="1162">
        <v>4</v>
      </c>
      <c r="AK58" s="1162">
        <v>115</v>
      </c>
      <c r="AL58" s="518">
        <v>10</v>
      </c>
      <c r="AM58" s="518">
        <v>10</v>
      </c>
      <c r="AN58" s="518">
        <v>10</v>
      </c>
      <c r="AO58" s="518">
        <v>10</v>
      </c>
      <c r="AP58" s="518">
        <v>10</v>
      </c>
      <c r="AQ58" s="116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A64828-15E5-F56D-590F-5C7E42C4D972}"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4" style="1642" width="24.7109375" hidden="1" customWidth="1"/>
    <col min="25" max="25" style="1642" width="11.7109375" hidden="1" customWidth="1"/>
    <col min="26" max="26" style="1642" width="3.7109375" hidden="1" customWidth="1"/>
    <col min="27" max="27" style="1642" width="11.7109375" hidden="1" customWidth="1"/>
    <col min="28" max="28" style="1642" width="8.57421875" hidden="1" customWidth="1"/>
    <col min="29" max="29" style="1642" width="24.7109375" customWidth="1"/>
    <col min="30" max="31" style="1642" width="24.00390625" customWidth="1"/>
    <col min="32" max="32" style="1642" width="11.00390625" customWidth="1"/>
    <col min="33" max="33" style="1642" width="3.7109375" customWidth="1"/>
    <col min="34" max="34" style="1642" width="11.00390625" customWidth="1"/>
    <col min="35" max="35" style="1642" width="8.57421875" hidden="1" customWidth="1"/>
    <col min="36" max="36" style="1642" width="4.00390625" customWidth="1"/>
    <col min="37" max="37" style="1642" width="115.00390625" customWidth="1"/>
    <col min="38" max="42" style="1649" width="10.00390625" customWidth="1"/>
    <col min="43" max="43" style="1642" width="10.57421875" hidden="1"/>
  </cols>
  <sheetData>
    <row customHeight="1" ht="22.5" hidden="1">
      <c r="X1" s="334"/>
      <c r="Y1" s="334"/>
      <c r="AE1" s="334"/>
      <c r="AF1" s="334"/>
      <c r="AQ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500">
        <f>INDEX(PT_DIFFERENTIATION_NUM_NTAR,MATCH(A2,PT_DIFFERENTIATION_NTAR_ID,0))</f>
      </c>
      <c r="T2" s="305" t="s">
        <v>215</v>
      </c>
      <c r="U2" s="307"/>
      <c r="V2" s="2249"/>
      <c r="W2" s="2250"/>
      <c r="X2" s="2250"/>
      <c r="Y2" s="2250"/>
      <c r="Z2" s="2250"/>
      <c r="AA2" s="2250"/>
      <c r="AB2" s="2251"/>
      <c r="AC2" s="2249">
        <f>INDEX(PT_DIFFERENTIATION_NTAR,MATCH(A2,PT_DIFFERENTIATION_NTAR_ID,0))</f>
      </c>
      <c r="AD2" s="2250"/>
      <c r="AE2" s="2250"/>
      <c r="AF2" s="2250"/>
      <c r="AG2" s="2250"/>
      <c r="AH2" s="2250"/>
      <c r="AI2" s="2250"/>
      <c r="AJ2" s="2251"/>
      <c r="AK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7"/>
      <c r="AN2" s="507" t="str">
        <f>IF(T2="","",T2)</f>
        <v>Наименование тарифа</v>
      </c>
      <c r="AO2" s="507"/>
      <c r="AP2" s="507"/>
      <c r="AQ2" s="1162">
        <v>0</v>
      </c>
    </row>
    <row customHeight="1" ht="23.25" hidden="1">
      <c r="A3" s="1370"/>
      <c r="B3" s="1370"/>
      <c r="C3" s="1370"/>
      <c r="D3" s="1370"/>
      <c r="E3" s="2266"/>
      <c r="F3" s="2265">
        <v>1</v>
      </c>
      <c r="G3" s="1370"/>
      <c r="H3" s="1370"/>
      <c r="I3" s="1370"/>
      <c r="J3" s="1370"/>
      <c r="K3" s="1370"/>
      <c r="L3" s="1371"/>
      <c r="M3" s="1372"/>
      <c r="N3" s="1372"/>
      <c r="O3" s="1372"/>
      <c r="P3" s="1494"/>
      <c r="Q3" s="359"/>
      <c r="R3" s="360"/>
      <c r="S3" s="1500">
        <f>INDEX(PT_DIFFERENTIATION_NUM_TER,MATCH(B3,PT_DIFFERENTIATION_TER_ID,0))</f>
      </c>
      <c r="T3" s="315" t="s">
        <v>560</v>
      </c>
      <c r="U3" s="307"/>
      <c r="V3" s="2249"/>
      <c r="W3" s="2250"/>
      <c r="X3" s="2250"/>
      <c r="Y3" s="2250"/>
      <c r="Z3" s="2250"/>
      <c r="AA3" s="2250"/>
      <c r="AB3" s="2251"/>
      <c r="AC3" s="2249">
        <f>INDEX(PT_DIFFERENTIATION_TER,MATCH(B3,PT_DIFFERENTIATION_TER_ID,0))</f>
      </c>
      <c r="AD3" s="2250"/>
      <c r="AE3" s="2250"/>
      <c r="AF3" s="2250"/>
      <c r="AG3" s="2250"/>
      <c r="AH3" s="2250"/>
      <c r="AI3" s="2250"/>
      <c r="AJ3" s="2251"/>
      <c r="AK3" s="1265" t="s">
        <v>561</v>
      </c>
      <c r="AM3" s="507"/>
      <c r="AN3" s="507" t="str">
        <f>IF(T3="","",T3)</f>
        <v>Территория действия тарифа</v>
      </c>
      <c r="AO3" s="507"/>
      <c r="AP3" s="507"/>
      <c r="AQ3" s="1162">
        <v>0</v>
      </c>
    </row>
    <row customHeight="1" ht="23.25" hidden="1">
      <c r="A4" s="1370"/>
      <c r="B4" s="1370"/>
      <c r="C4" s="1370"/>
      <c r="D4" s="1370"/>
      <c r="E4" s="2266"/>
      <c r="F4" s="2266"/>
      <c r="G4" s="2265">
        <v>1</v>
      </c>
      <c r="H4" s="1370"/>
      <c r="I4" s="1370"/>
      <c r="J4" s="1370"/>
      <c r="K4" s="1370"/>
      <c r="L4" s="1371"/>
      <c r="M4" s="1372"/>
      <c r="N4" s="1372"/>
      <c r="O4" s="1372"/>
      <c r="P4" s="361"/>
      <c r="Q4" s="359"/>
      <c r="R4" s="360"/>
      <c r="S4" s="1500">
        <f>INDEX(PT_DIFFERENTIATION_NUM_CS,MATCH(C4,PT_DIFFERENTIATION_CS_ID,0))</f>
      </c>
      <c r="T4" s="316" t="s">
        <v>678</v>
      </c>
      <c r="U4" s="307"/>
      <c r="V4" s="2249"/>
      <c r="W4" s="2250"/>
      <c r="X4" s="2250"/>
      <c r="Y4" s="2250"/>
      <c r="Z4" s="2250"/>
      <c r="AA4" s="2250"/>
      <c r="AB4" s="2251"/>
      <c r="AC4" s="2249">
        <f>INDEX(PT_DIFFERENTIATION_CS,MATCH(C4,PT_DIFFERENTIATION_CS_ID,0))</f>
      </c>
      <c r="AD4" s="2250"/>
      <c r="AE4" s="2250"/>
      <c r="AF4" s="2250"/>
      <c r="AG4" s="2250"/>
      <c r="AH4" s="2250"/>
      <c r="AI4" s="2250"/>
      <c r="AJ4" s="2251"/>
      <c r="AK4" s="1265" t="s">
        <v>679</v>
      </c>
      <c r="AM4" s="507"/>
      <c r="AN4" s="507" t="str">
        <f>IF(T4="","",T4)</f>
        <v>Наименование централизованной системы водоотведения</v>
      </c>
      <c r="AO4" s="507"/>
      <c r="AP4" s="507"/>
      <c r="AQ4" s="1162">
        <v>0</v>
      </c>
    </row>
    <row customHeight="1" ht="23.25" hidden="1">
      <c r="A5" s="1370"/>
      <c r="B5" s="1370"/>
      <c r="C5" s="1370"/>
      <c r="D5" s="1370"/>
      <c r="E5" s="2266"/>
      <c r="F5" s="2266"/>
      <c r="G5" s="2266"/>
      <c r="H5" s="2266"/>
      <c r="I5" s="2263">
        <f>S4&amp;".1"</f>
      </c>
      <c r="J5" s="1370"/>
      <c r="K5" s="1370"/>
      <c r="L5" s="1371"/>
      <c r="P5" s="2264">
        <v>1</v>
      </c>
      <c r="Q5" s="1488"/>
      <c r="R5" s="363"/>
      <c r="S5" s="1500">
        <f>$I5</f>
      </c>
      <c r="T5" s="292" t="s">
        <v>643</v>
      </c>
      <c r="U5" s="307"/>
      <c r="V5" s="2357"/>
      <c r="W5" s="2358"/>
      <c r="X5" s="2358"/>
      <c r="Y5" s="2358"/>
      <c r="Z5" s="2358"/>
      <c r="AA5" s="2358"/>
      <c r="AB5" s="2359"/>
      <c r="AC5" s="2360"/>
      <c r="AD5" s="2361"/>
      <c r="AE5" s="2361"/>
      <c r="AF5" s="2361"/>
      <c r="AG5" s="2361"/>
      <c r="AH5" s="2361"/>
      <c r="AI5" s="2361"/>
      <c r="AJ5" s="2362"/>
      <c r="AK5" s="1265" t="s">
        <v>644</v>
      </c>
      <c r="AM5" s="507"/>
      <c r="AN5" s="507" t="str">
        <f>IF(T5="","",T5)</f>
        <v>Наименование признака дифференциации</v>
      </c>
      <c r="AO5" s="507"/>
      <c r="AP5" s="507"/>
      <c r="AQ5" s="1162">
        <v>0</v>
      </c>
    </row>
    <row customHeight="1" ht="23.25" hidden="1">
      <c r="A6" s="1370"/>
      <c r="B6" s="1370"/>
      <c r="C6" s="1370"/>
      <c r="D6" s="1370"/>
      <c r="E6" s="2266"/>
      <c r="F6" s="2266"/>
      <c r="G6" s="2266"/>
      <c r="H6" s="2266"/>
      <c r="I6" s="2293"/>
      <c r="J6" s="2263">
        <f>I5&amp;".1"</f>
      </c>
      <c r="K6" s="1370"/>
      <c r="L6" s="1371" t="s">
        <v>569</v>
      </c>
      <c r="P6" s="2264"/>
      <c r="Q6" s="2264">
        <v>1</v>
      </c>
      <c r="R6" s="364"/>
      <c r="S6" s="1500">
        <f>$J6</f>
      </c>
      <c r="T6" s="293" t="s">
        <v>570</v>
      </c>
      <c r="U6" s="307"/>
      <c r="V6" s="2252"/>
      <c r="W6" s="2253"/>
      <c r="X6" s="2253"/>
      <c r="Y6" s="2253"/>
      <c r="Z6" s="2253"/>
      <c r="AA6" s="2253"/>
      <c r="AB6" s="2254"/>
      <c r="AC6" s="2252"/>
      <c r="AD6" s="2253"/>
      <c r="AE6" s="2253"/>
      <c r="AF6" s="2253"/>
      <c r="AG6" s="2253"/>
      <c r="AH6" s="2253"/>
      <c r="AI6" s="2253"/>
      <c r="AJ6" s="2254"/>
      <c r="AK6" s="1314" t="s">
        <v>645</v>
      </c>
      <c r="AM6" s="507"/>
      <c r="AN6" s="507" t="str">
        <f>IF(T6="","",T6)</f>
        <v>Группа потребителей</v>
      </c>
      <c r="AO6" s="507"/>
      <c r="AP6" s="507"/>
      <c r="AQ6" s="1162">
        <v>0</v>
      </c>
    </row>
    <row customHeight="1" ht="23.25" hidden="1">
      <c r="A7" s="1370"/>
      <c r="B7" s="1370"/>
      <c r="C7" s="1370"/>
      <c r="D7" s="1370"/>
      <c r="E7" s="2266"/>
      <c r="F7" s="2266"/>
      <c r="G7" s="2266"/>
      <c r="H7" s="2266"/>
      <c r="I7" s="2293"/>
      <c r="J7" s="2293"/>
      <c r="K7" s="2263">
        <f>J6&amp;".1"</f>
      </c>
      <c r="L7" s="1371"/>
      <c r="P7" s="2264"/>
      <c r="Q7" s="2264"/>
      <c r="R7" s="364">
        <v>1</v>
      </c>
      <c r="S7" s="1500">
        <f>$K7</f>
      </c>
      <c r="T7" s="1444"/>
      <c r="U7" s="307"/>
      <c r="V7" s="758"/>
      <c r="W7" s="758"/>
      <c r="X7" s="1264"/>
      <c r="Y7" s="2272"/>
      <c r="Z7" s="2114" t="s">
        <v>66</v>
      </c>
      <c r="AA7" s="2272"/>
      <c r="AB7" s="2114" t="s">
        <v>66</v>
      </c>
      <c r="AC7" s="758"/>
      <c r="AD7" s="758"/>
      <c r="AE7" s="1264"/>
      <c r="AF7" s="2272"/>
      <c r="AG7" s="2114" t="s">
        <v>66</v>
      </c>
      <c r="AH7" s="2294"/>
      <c r="AI7" s="2114" t="s">
        <v>66</v>
      </c>
      <c r="AJ7" s="1445"/>
      <c r="AK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8">
        <f>STRCHECKDATE(V8:AJ8)</f>
      </c>
      <c r="AM7" s="507"/>
      <c r="AN7" s="507" t="str">
        <f>IF(T7="","",T7)</f>
        <v/>
      </c>
      <c r="AO7" s="507"/>
      <c r="AP7" s="507"/>
      <c r="AQ7" s="1162">
        <v>0</v>
      </c>
    </row>
    <row customHeight="1" ht="14.25" hidden="1">
      <c r="A8" s="1370"/>
      <c r="B8" s="1370"/>
      <c r="C8" s="1370"/>
      <c r="D8" s="1370"/>
      <c r="E8" s="2266"/>
      <c r="F8" s="2266"/>
      <c r="G8" s="2266"/>
      <c r="H8" s="2266"/>
      <c r="I8" s="2293"/>
      <c r="J8" s="2293"/>
      <c r="K8" s="2263"/>
      <c r="L8" s="1371"/>
      <c r="P8" s="2264"/>
      <c r="Q8" s="2264"/>
      <c r="R8" s="364"/>
      <c r="S8" s="1497"/>
      <c r="T8" s="307"/>
      <c r="U8" s="307"/>
      <c r="V8" s="332"/>
      <c r="W8" s="332"/>
      <c r="X8" s="335" t="str">
        <f>Y7&amp;"-"&amp;AA7</f>
        <v>-</v>
      </c>
      <c r="Y8" s="2273"/>
      <c r="Z8" s="2114"/>
      <c r="AA8" s="2273"/>
      <c r="AB8" s="2114"/>
      <c r="AC8" s="332"/>
      <c r="AD8" s="332"/>
      <c r="AE8" s="335" t="str">
        <f>AF7&amp;"-"&amp;AH7</f>
        <v>-</v>
      </c>
      <c r="AF8" s="2273"/>
      <c r="AG8" s="2114"/>
      <c r="AH8" s="2295"/>
      <c r="AI8" s="2114"/>
      <c r="AJ8" s="1446"/>
      <c r="AK8" s="2356"/>
      <c r="AM8" s="507"/>
      <c r="AN8" s="507" t="str">
        <f>IF(T8="","",T8)</f>
        <v/>
      </c>
      <c r="AO8" s="507"/>
      <c r="AP8" s="507"/>
      <c r="AQ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374"/>
      <c r="X9" s="374"/>
      <c r="Y9" s="374"/>
      <c r="Z9" s="374"/>
      <c r="AA9" s="374"/>
      <c r="AB9" s="374"/>
      <c r="AC9" s="374"/>
      <c r="AD9" s="374"/>
      <c r="AE9" s="374"/>
      <c r="AF9" s="374"/>
      <c r="AG9" s="374"/>
      <c r="AH9" s="374"/>
      <c r="AI9" s="374"/>
      <c r="AJ9" s="374"/>
      <c r="AK9" s="1265" t="s">
        <v>647</v>
      </c>
      <c r="AM9" s="507"/>
      <c r="AN9" s="507" t="str">
        <f>IF(T9="","",T9)</f>
        <v>Добавить значение признака дифференциации</v>
      </c>
      <c r="AO9" s="507"/>
      <c r="AP9" s="507"/>
      <c r="AQ9" s="1162">
        <v>0</v>
      </c>
    </row>
    <row customHeight="1" ht="21" hidden="1">
      <c r="A10" s="1370"/>
      <c r="B10" s="1370"/>
      <c r="C10" s="1370"/>
      <c r="D10" s="1370"/>
      <c r="E10" s="2266"/>
      <c r="F10" s="2266"/>
      <c r="G10" s="2266"/>
      <c r="H10" s="2266"/>
      <c r="I10" s="2263"/>
      <c r="J10" s="1370"/>
      <c r="K10" s="1370"/>
      <c r="L10" s="1371"/>
      <c r="P10" s="2264"/>
      <c r="Q10" s="1488"/>
      <c r="R10" s="363"/>
      <c r="S10" s="1285"/>
      <c r="T10" s="372" t="s">
        <v>575</v>
      </c>
      <c r="U10" s="374"/>
      <c r="V10" s="374"/>
      <c r="W10" s="374"/>
      <c r="X10" s="374"/>
      <c r="Y10" s="374"/>
      <c r="Z10" s="374"/>
      <c r="AA10" s="374"/>
      <c r="AB10" s="373"/>
      <c r="AC10" s="374"/>
      <c r="AD10" s="374"/>
      <c r="AE10" s="374"/>
      <c r="AF10" s="374"/>
      <c r="AG10" s="374"/>
      <c r="AH10" s="374"/>
      <c r="AI10" s="373"/>
      <c r="AJ10" s="374"/>
      <c r="AK10" s="1447"/>
      <c r="AM10" s="507"/>
      <c r="AN10" s="507" t="str">
        <f>IF(T10="","",T10)</f>
        <v>Добавить группу потребителей</v>
      </c>
      <c r="AO10" s="507"/>
      <c r="AP10" s="507"/>
      <c r="AQ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374"/>
      <c r="X11" s="374"/>
      <c r="Y11" s="374"/>
      <c r="Z11" s="374"/>
      <c r="AA11" s="374"/>
      <c r="AB11" s="373"/>
      <c r="AC11" s="374"/>
      <c r="AD11" s="374"/>
      <c r="AE11" s="374"/>
      <c r="AF11" s="374"/>
      <c r="AG11" s="374"/>
      <c r="AH11" s="374"/>
      <c r="AI11" s="373"/>
      <c r="AJ11" s="374"/>
      <c r="AK11" s="310"/>
      <c r="AM11" s="507"/>
      <c r="AN11" s="507" t="str">
        <f>IF(T11="","",T11)</f>
        <v>Добавить наименование признака дифференциации</v>
      </c>
      <c r="AO11" s="507"/>
      <c r="AP11" s="507"/>
      <c r="AQ11" s="1162">
        <v>0</v>
      </c>
    </row>
    <row s="1649" customFormat="1" customHeight="1" ht="14.25" hidden="1">
      <c r="A12" s="1350"/>
      <c r="B12" s="1350"/>
      <c r="C12" s="1321"/>
      <c r="D12" s="1321"/>
      <c r="E12" s="2266"/>
      <c r="F12" s="2265"/>
      <c r="G12" s="1321"/>
      <c r="H12" s="1321"/>
      <c r="I12" s="1321"/>
      <c r="J12" s="1321"/>
      <c r="K12" s="1321"/>
      <c r="L12" s="1501"/>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M12" s="796"/>
      <c r="AN12" s="796" t="str">
        <f>IF(T12="","",T12)</f>
        <v>Добавить централизованную систему для дифференциации</v>
      </c>
      <c r="AO12" s="796"/>
      <c r="AP12" s="796"/>
      <c r="AQ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M13" s="507"/>
      <c r="AN13" s="507" t="str">
        <f>IF(T13="","",T13)</f>
        <v>Добавить территорию для дифференциации</v>
      </c>
      <c r="AO13" s="507"/>
      <c r="AP13" s="507"/>
      <c r="AQ13" s="518">
        <v>0</v>
      </c>
    </row>
    <row customHeight="1" ht="14.25" hidden="1">
      <c r="AB14" s="334"/>
      <c r="AI14" s="334"/>
      <c r="AQ14" s="1162">
        <v>0</v>
      </c>
    </row>
    <row customHeight="1" ht="14.25" hidden="1">
      <c r="AC15" s="1367"/>
      <c r="AD15" s="1367"/>
      <c r="AE15" s="1368"/>
      <c r="AF15" s="2274"/>
      <c r="AG15" s="2275" t="s">
        <v>66</v>
      </c>
      <c r="AH15" s="2274"/>
      <c r="AI15" s="2275" t="s">
        <v>66</v>
      </c>
      <c r="AQ15" s="1162">
        <v>0</v>
      </c>
    </row>
    <row customHeight="1" ht="14.25" hidden="1">
      <c r="AC16" s="1367"/>
      <c r="AD16" s="1367"/>
      <c r="AE16" s="335" t="str">
        <f>AF15&amp;"-"&amp;AH15</f>
        <v>-</v>
      </c>
      <c r="AF16" s="2275"/>
      <c r="AG16" s="2275"/>
      <c r="AH16" s="2275"/>
      <c r="AI16" s="2275"/>
      <c r="AQ16" s="1162">
        <v>0</v>
      </c>
    </row>
    <row customHeight="1" ht="14.25" hidden="1">
      <c r="AI17" s="334"/>
      <c r="AQ17" s="1162">
        <v>0</v>
      </c>
    </row>
    <row s="1373" customFormat="1" customHeight="1" ht="22.5" hidden="1">
      <c r="L18" s="1485"/>
      <c r="M18" s="1369"/>
      <c r="N18" s="1369"/>
      <c r="O18" s="1374" t="s">
        <v>578</v>
      </c>
      <c r="P18" s="1369"/>
      <c r="Q18" s="1378"/>
      <c r="R18" s="1378"/>
      <c r="S18" s="736"/>
      <c r="Y18" s="1374"/>
      <c r="AA18" s="1374"/>
      <c r="AB18" s="1373"/>
      <c r="AF18" s="1374"/>
      <c r="AH18" s="1374"/>
      <c r="AI18" s="1373"/>
      <c r="AL18" s="518"/>
      <c r="AM18" s="518"/>
      <c r="AN18" s="518"/>
      <c r="AO18" s="518"/>
      <c r="AP18" s="518"/>
      <c r="AQ18" s="1167">
        <v>0</v>
      </c>
    </row>
    <row s="1373" customFormat="1" customHeight="1" ht="14.25" hidden="1">
      <c r="L19" s="1485"/>
      <c r="M19" s="1369"/>
      <c r="N19" s="1369"/>
      <c r="O19" s="1369"/>
      <c r="P19" s="1369"/>
      <c r="Q19" s="1378"/>
      <c r="R19" s="1378"/>
      <c r="S19" s="736"/>
      <c r="AB19" s="1373"/>
      <c r="AI19" s="1373"/>
      <c r="AL19" s="518"/>
      <c r="AM19" s="518"/>
      <c r="AN19" s="518"/>
      <c r="AO19" s="518"/>
      <c r="AP19" s="518"/>
      <c r="AQ19" s="1167">
        <v>0</v>
      </c>
    </row>
    <row s="1373" customFormat="1" customHeight="1" ht="12" hidden="1">
      <c r="L20" s="1485"/>
      <c r="M20" s="1369"/>
      <c r="N20" s="1369"/>
      <c r="O20" s="1371" t="s">
        <v>579</v>
      </c>
      <c r="P20" s="1369"/>
      <c r="Q20" s="1449"/>
      <c r="R20" s="1449"/>
      <c r="S20" s="736"/>
      <c r="T20" s="1167" t="s">
        <v>580</v>
      </c>
      <c r="Z20" s="193" t="s">
        <v>581</v>
      </c>
      <c r="AB20" s="193" t="s">
        <v>582</v>
      </c>
      <c r="AC20" s="1167" t="s">
        <v>580</v>
      </c>
      <c r="AG20" s="193" t="s">
        <v>583</v>
      </c>
      <c r="AI20" s="193" t="s">
        <v>582</v>
      </c>
      <c r="AQ20" s="1167">
        <v>0</v>
      </c>
    </row>
    <row customHeight="1" ht="14.25" hidden="1">
      <c r="O21" s="1371"/>
      <c r="AQ21" s="1162">
        <v>0</v>
      </c>
    </row>
    <row customHeight="1" ht="14.25" hidden="1">
      <c r="O22" s="1371"/>
      <c r="AQ22" s="1162">
        <v>0</v>
      </c>
    </row>
    <row customHeight="1" ht="14.699999999999998">
      <c r="Q23" s="383"/>
      <c r="R23" s="383"/>
      <c r="S23" s="1282"/>
      <c r="T23" s="370"/>
      <c r="U23" s="370"/>
      <c r="V23" s="516"/>
      <c r="W23" s="516"/>
      <c r="X23" s="516"/>
      <c r="Y23" s="516"/>
      <c r="Z23" s="516"/>
      <c r="AA23" s="516"/>
      <c r="AB23" s="516"/>
      <c r="AC23" s="516"/>
      <c r="AD23" s="516"/>
      <c r="AE23" s="516"/>
      <c r="AF23" s="516"/>
      <c r="AG23" s="516"/>
      <c r="AH23" s="516"/>
      <c r="AI23" s="516"/>
      <c r="AQ23" s="1162">
        <v>14</v>
      </c>
    </row>
    <row customHeight="1" ht="14.699999999999998">
      <c r="Q24" s="383"/>
      <c r="R24" s="383"/>
      <c r="S24" s="2255"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5"/>
      <c r="U24" s="2255"/>
      <c r="V24" s="2255"/>
      <c r="W24" s="2255"/>
      <c r="X24" s="2255"/>
      <c r="Y24" s="2255"/>
      <c r="Z24" s="2255"/>
      <c r="AA24" s="2255"/>
      <c r="AB24" s="2255"/>
      <c r="AC24" s="2255"/>
      <c r="AD24" s="2255"/>
      <c r="AE24" s="2255"/>
      <c r="AF24" s="2255"/>
      <c r="AG24" s="2255"/>
      <c r="AH24" s="2255"/>
      <c r="AI24" s="1250"/>
      <c r="AQ24" s="1162">
        <v>14</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1250"/>
      <c r="AQ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516"/>
      <c r="AQ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333"/>
      <c r="AC27" s="2258" t="str">
        <f>IF(TITLE_NAME_OR_PR_CHANGE="",IF(TITLE_NAME_OR_PR="","",TITLE_NAME_OR_PR),TITLE_NAME_OR_PR_CHANGE)</f>
        <v/>
      </c>
      <c r="AD27" s="2258"/>
      <c r="AE27" s="2258"/>
      <c r="AF27" s="2258"/>
      <c r="AG27" s="2258"/>
      <c r="AH27" s="2258"/>
      <c r="AI27" s="333"/>
      <c r="AJ27" s="333"/>
      <c r="AK27" s="287"/>
      <c r="AL27" s="375"/>
      <c r="AM27" s="375"/>
      <c r="AN27" s="375"/>
      <c r="AO27" s="375"/>
      <c r="AP27" s="375"/>
      <c r="AQ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333"/>
      <c r="AC28" s="2271" t="str">
        <f>IF(TITLE_DATE_PR_CHANGE="",IF(TITLE_DATE_PR="","",TITLE_DATE_PR),TITLE_DATE_PR_CHANGE)</f>
        <v>45432</v>
      </c>
      <c r="AD28" s="2271"/>
      <c r="AE28" s="2271"/>
      <c r="AF28" s="2271"/>
      <c r="AG28" s="2271"/>
      <c r="AH28" s="2271"/>
      <c r="AI28" s="333"/>
      <c r="AJ28" s="333"/>
      <c r="AK28" s="287"/>
      <c r="AL28" s="375"/>
      <c r="AM28" s="375"/>
      <c r="AN28" s="375"/>
      <c r="AO28" s="375"/>
      <c r="AP28" s="375"/>
      <c r="AQ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333"/>
      <c r="AC29" s="2258" t="str">
        <f>IF(TITLE_NUMBER_PR_CHANGE="",IF(TITLE_NUMBER_PR="","",TITLE_NUMBER_PR),TITLE_NUMBER_PR_CHANGE)</f>
        <v>29-12/1427</v>
      </c>
      <c r="AD29" s="2258"/>
      <c r="AE29" s="2258"/>
      <c r="AF29" s="2258"/>
      <c r="AG29" s="2258"/>
      <c r="AH29" s="2258"/>
      <c r="AI29" s="333"/>
      <c r="AJ29" s="333"/>
      <c r="AK29" s="287"/>
      <c r="AL29" s="375"/>
      <c r="AM29" s="375"/>
      <c r="AN29" s="375"/>
      <c r="AO29" s="375"/>
      <c r="AP29" s="375"/>
      <c r="AQ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333"/>
      <c r="AC30" s="2258" t="str">
        <f>IF(TITLE_IST_PUB_CHANGE="",IF(TITLE_IST_PUB="","",TITLE_IST_PUB),TITLE_IST_PUB_CHANGE)</f>
        <v/>
      </c>
      <c r="AD30" s="2258"/>
      <c r="AE30" s="2258"/>
      <c r="AF30" s="2258"/>
      <c r="AG30" s="2258"/>
      <c r="AH30" s="2258"/>
      <c r="AI30" s="333"/>
      <c r="AJ30" s="333"/>
      <c r="AK30" s="287"/>
      <c r="AL30" s="375"/>
      <c r="AM30" s="375"/>
      <c r="AN30" s="375"/>
      <c r="AO30" s="375"/>
      <c r="AP30" s="375"/>
      <c r="AQ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516"/>
      <c r="AQ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333"/>
      <c r="AC32" s="2271" t="str">
        <f>IF(TITLE_DATE_PR_CHANGE="",IF(TITLE_DATE_PR="","",TITLE_DATE_PR),TITLE_DATE_PR_CHANGE)</f>
        <v>45432</v>
      </c>
      <c r="AD32" s="2271"/>
      <c r="AE32" s="2271"/>
      <c r="AF32" s="2271"/>
      <c r="AG32" s="2271"/>
      <c r="AH32" s="2271"/>
      <c r="AI32" s="333"/>
      <c r="AJ32" s="333"/>
      <c r="AK32" s="287"/>
      <c r="AL32" s="375"/>
      <c r="AM32" s="375"/>
      <c r="AN32" s="375"/>
      <c r="AO32" s="375"/>
      <c r="AP32" s="375"/>
      <c r="AQ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333"/>
      <c r="AC33" s="2258" t="str">
        <f>IF(TITLE_NUMBER_PR_CHANGE="",IF(TITLE_NUMBER_PR="","",TITLE_NUMBER_PR),TITLE_NUMBER_PR_CHANGE)</f>
        <v>29-12/1427</v>
      </c>
      <c r="AD33" s="2258"/>
      <c r="AE33" s="2258"/>
      <c r="AF33" s="2258"/>
      <c r="AG33" s="2258"/>
      <c r="AH33" s="2258"/>
      <c r="AI33" s="333"/>
      <c r="AJ33" s="333"/>
      <c r="AK33" s="287"/>
      <c r="AL33" s="375"/>
      <c r="AM33" s="375"/>
      <c r="AN33" s="375"/>
      <c r="AO33" s="375"/>
      <c r="AP33" s="375"/>
      <c r="AQ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95"/>
      <c r="V34" s="333"/>
      <c r="W34" s="333"/>
      <c r="X34" s="333"/>
      <c r="Y34" s="333"/>
      <c r="Z34" s="333"/>
      <c r="AA34" s="333"/>
      <c r="AB34" s="285" t="s">
        <v>588</v>
      </c>
      <c r="AC34" s="333"/>
      <c r="AD34" s="333"/>
      <c r="AE34" s="333"/>
      <c r="AF34" s="333"/>
      <c r="AG34" s="333"/>
      <c r="AH34" s="333"/>
      <c r="AI34" s="285" t="s">
        <v>588</v>
      </c>
      <c r="AL34" s="375"/>
      <c r="AM34" s="375"/>
      <c r="AN34" s="375"/>
      <c r="AO34" s="375"/>
      <c r="AP34" s="375"/>
      <c r="AQ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Q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t="s">
        <v>464</v>
      </c>
      <c r="AQ36" s="1162">
        <v>14</v>
      </c>
    </row>
    <row customHeight="1" ht="14.699999999999998">
      <c r="Q37" s="383"/>
      <c r="R37" s="383"/>
      <c r="S37" s="2280" t="s">
        <v>88</v>
      </c>
      <c r="T37" s="2216" t="s">
        <v>589</v>
      </c>
      <c r="U37" s="308"/>
      <c r="V37" s="2281" t="s">
        <v>590</v>
      </c>
      <c r="W37" s="2282"/>
      <c r="X37" s="2282"/>
      <c r="Y37" s="2282"/>
      <c r="Z37" s="2282"/>
      <c r="AA37" s="2283"/>
      <c r="AB37" s="2284" t="s">
        <v>591</v>
      </c>
      <c r="AC37" s="2281" t="s">
        <v>590</v>
      </c>
      <c r="AD37" s="2282"/>
      <c r="AE37" s="2282"/>
      <c r="AF37" s="2282"/>
      <c r="AG37" s="2282"/>
      <c r="AH37" s="2283"/>
      <c r="AI37" s="2284" t="s">
        <v>592</v>
      </c>
      <c r="AJ37" s="2287" t="s">
        <v>593</v>
      </c>
      <c r="AK37" s="2134"/>
      <c r="AQ37" s="1162">
        <v>14</v>
      </c>
    </row>
    <row customHeight="1" ht="35.699999999999996">
      <c r="Q38" s="383"/>
      <c r="R38" s="383"/>
      <c r="S38" s="2280"/>
      <c r="T38" s="2216"/>
      <c r="U38" s="1038"/>
      <c r="V38" s="1490" t="s">
        <v>649</v>
      </c>
      <c r="W38" s="2269" t="s">
        <v>596</v>
      </c>
      <c r="X38" s="2270"/>
      <c r="Y38" s="2269" t="s">
        <v>597</v>
      </c>
      <c r="Z38" s="2276"/>
      <c r="AA38" s="2270"/>
      <c r="AB38" s="2285"/>
      <c r="AC38" s="1490" t="s">
        <v>649</v>
      </c>
      <c r="AD38" s="2269" t="s">
        <v>596</v>
      </c>
      <c r="AE38" s="2270"/>
      <c r="AF38" s="2269" t="s">
        <v>597</v>
      </c>
      <c r="AG38" s="2276"/>
      <c r="AH38" s="2270"/>
      <c r="AI38" s="2285"/>
      <c r="AJ38" s="2288"/>
      <c r="AK38" s="2134"/>
      <c r="AQ38" s="1162">
        <v>34</v>
      </c>
    </row>
    <row customHeight="1" ht="90.3">
      <c r="A39" s="1377"/>
      <c r="B39" s="1377" t="s">
        <v>227</v>
      </c>
      <c r="C39" s="1377" t="s">
        <v>228</v>
      </c>
      <c r="D39" s="1377" t="s">
        <v>229</v>
      </c>
      <c r="E39" s="1371" t="s">
        <v>598</v>
      </c>
      <c r="F39" s="1371" t="s">
        <v>599</v>
      </c>
      <c r="G39" s="1371" t="s">
        <v>600</v>
      </c>
      <c r="H39" s="1371"/>
      <c r="I39" s="1371" t="s">
        <v>650</v>
      </c>
      <c r="J39" s="1371" t="s">
        <v>603</v>
      </c>
      <c r="K39" s="1371" t="s">
        <v>651</v>
      </c>
      <c r="L39" s="1371" t="s">
        <v>579</v>
      </c>
      <c r="Q39" s="383"/>
      <c r="R39" s="383"/>
      <c r="S39" s="2280"/>
      <c r="T39" s="2216"/>
      <c r="U39" s="309"/>
      <c r="V39" s="1490" t="s">
        <v>680</v>
      </c>
      <c r="W39" s="1229" t="s">
        <v>681</v>
      </c>
      <c r="X39" s="1229" t="s">
        <v>654</v>
      </c>
      <c r="Y39" s="1496" t="s">
        <v>607</v>
      </c>
      <c r="Z39" s="2277" t="s">
        <v>608</v>
      </c>
      <c r="AA39" s="2278"/>
      <c r="AB39" s="2286"/>
      <c r="AC39" s="1490" t="s">
        <v>680</v>
      </c>
      <c r="AD39" s="1229" t="s">
        <v>681</v>
      </c>
      <c r="AE39" s="1229" t="s">
        <v>654</v>
      </c>
      <c r="AF39" s="1496" t="s">
        <v>607</v>
      </c>
      <c r="AG39" s="2277" t="s">
        <v>608</v>
      </c>
      <c r="AH39" s="2278"/>
      <c r="AI39" s="2286"/>
      <c r="AJ39" s="2289"/>
      <c r="AK39" s="2134"/>
      <c r="AQ39" s="1162">
        <v>86</v>
      </c>
    </row>
    <row s="1648" customFormat="1" customHeight="1" ht="0">
      <c r="A40" s="1377"/>
      <c r="B40" s="1377"/>
      <c r="C40" s="1377"/>
      <c r="D40" s="1377"/>
      <c r="E40" s="1377"/>
      <c r="F40" s="1377"/>
      <c r="G40" s="1377"/>
      <c r="H40" s="1377"/>
      <c r="I40" s="1377"/>
      <c r="J40" s="1377"/>
      <c r="K40" s="1377"/>
      <c r="L40" s="1371"/>
      <c r="M40" s="1369"/>
      <c r="N40" s="1369"/>
      <c r="O40" s="1369"/>
      <c r="P40" s="1253"/>
      <c r="Q40" s="1254"/>
      <c r="R40" s="1261">
        <v>1</v>
      </c>
      <c r="S40" s="1284" t="s">
        <v>108</v>
      </c>
      <c r="T40" s="1262" t="s">
        <v>99</v>
      </c>
      <c r="U40" s="1252" t="str">
        <f>OFFSET(U40,0,-1)</f>
        <v>2</v>
      </c>
      <c r="V40" s="1489">
        <f>OFFSET(V40,0,-1)+1</f>
        <v>3</v>
      </c>
      <c r="W40" s="1489">
        <f>OFFSET(W40,0,-1)+1</f>
        <v>4</v>
      </c>
      <c r="X40" s="1489">
        <f>OFFSET(X40,0,-1)+1</f>
        <v>5</v>
      </c>
      <c r="Y40" s="1489">
        <f>OFFSET(Y40,0,-1)+1</f>
        <v>6</v>
      </c>
      <c r="Z40" s="2279">
        <f>OFFSET(Z40,0,-1)+1</f>
        <v>7</v>
      </c>
      <c r="AA40" s="2279"/>
      <c r="AB40" s="1489">
        <f>OFFSET(AB40,0,-2)+1</f>
        <v>8</v>
      </c>
      <c r="AC40" s="1489">
        <f>OFFSET(AC40,0,-1)+1</f>
        <v>9</v>
      </c>
      <c r="AD40" s="1489">
        <f>OFFSET(AD40,0,-1)+1</f>
        <v>10</v>
      </c>
      <c r="AE40" s="1489">
        <f>OFFSET(AE40,0,-1)+1</f>
        <v>11</v>
      </c>
      <c r="AF40" s="1489">
        <f>OFFSET(AF40,0,-1)+1</f>
        <v>12</v>
      </c>
      <c r="AG40" s="2279">
        <f>OFFSET(AG40,0,-1)+1</f>
        <v>13</v>
      </c>
      <c r="AH40" s="2279"/>
      <c r="AI40" s="1489">
        <f>OFFSET(AI40,0,-2)+1</f>
        <v>14</v>
      </c>
      <c r="AJ40" s="1252">
        <f>OFFSET(AJ40,0,-1)</f>
        <v>14</v>
      </c>
      <c r="AK40" s="1489">
        <f>OFFSET(AK40,0,-1)+1</f>
        <v>15</v>
      </c>
      <c r="AL40" s="518"/>
      <c r="AM40" s="518"/>
      <c r="AN40" s="518"/>
      <c r="AO40" s="518"/>
      <c r="AP40" s="518"/>
      <c r="AQ40" s="503">
        <v>0</v>
      </c>
    </row>
    <row customHeight="1" ht="24">
      <c r="A41" s="1370" t="s">
        <v>434</v>
      </c>
      <c r="B41" s="1370"/>
      <c r="C41" s="1370"/>
      <c r="D41" s="1370"/>
      <c r="E41" s="2265">
        <v>1</v>
      </c>
      <c r="F41" s="1370"/>
      <c r="G41" s="1370"/>
      <c r="H41" s="1370"/>
      <c r="I41" s="1370"/>
      <c r="J41" s="1370"/>
      <c r="K41" s="1370"/>
      <c r="L41" s="1371"/>
      <c r="M41" s="1372"/>
      <c r="N41" s="1372"/>
      <c r="O41" s="1372"/>
      <c r="P41" s="368"/>
      <c r="Q41" s="367"/>
      <c r="R41" s="362"/>
      <c r="S41" s="1500">
        <f>INDEX(PT_DIFFERENTIATION_NUM_NTAR,MATCH(A41,PT_DIFFERENTIATION_NTAR_ID,0))</f>
        <v>0</v>
      </c>
      <c r="T41" s="305" t="s">
        <v>215</v>
      </c>
      <c r="U41" s="307"/>
      <c r="V41" s="2249"/>
      <c r="W41" s="2250"/>
      <c r="X41" s="2250"/>
      <c r="Y41" s="2250"/>
      <c r="Z41" s="2250"/>
      <c r="AA41" s="2250"/>
      <c r="AB41" s="2251"/>
      <c r="AC41" s="2249" t="str">
        <f>INDEX(PT_DIFFERENTIATION_NTAR,MATCH(A41,PT_DIFFERENTIATION_NTAR_ID,0))</f>
        <v/>
      </c>
      <c r="AD41" s="2250"/>
      <c r="AE41" s="2250"/>
      <c r="AF41" s="2250"/>
      <c r="AG41" s="2250"/>
      <c r="AH41" s="2250"/>
      <c r="AI41" s="2250"/>
      <c r="AJ41" s="2251"/>
      <c r="AK41"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7"/>
      <c r="AN41" s="507" t="str">
        <f>IF(T41="","",T41)</f>
        <v>Наименование тарифа</v>
      </c>
      <c r="AO41" s="507"/>
      <c r="AP41" s="507"/>
      <c r="AQ41" s="1162">
        <v>23</v>
      </c>
    </row>
    <row customHeight="1" ht="24">
      <c r="A42" s="1370" t="s">
        <v>434</v>
      </c>
      <c r="B42" s="1370" t="s">
        <v>435</v>
      </c>
      <c r="C42" s="1370"/>
      <c r="D42" s="1370"/>
      <c r="E42" s="2266"/>
      <c r="F42" s="2265">
        <v>1</v>
      </c>
      <c r="G42" s="1370"/>
      <c r="H42" s="1370"/>
      <c r="I42" s="1370"/>
      <c r="J42" s="1370"/>
      <c r="K42" s="1370"/>
      <c r="L42" s="1371"/>
      <c r="M42" s="1372"/>
      <c r="N42" s="1372"/>
      <c r="O42" s="1372"/>
      <c r="P42" s="1494"/>
      <c r="Q42" s="359"/>
      <c r="R42" s="360"/>
      <c r="S42" s="1500" t="str">
        <f>INDEX(PT_DIFFERENTIATION_NUM_TER,MATCH(B42,PT_DIFFERENTIATION_TER_ID,0))</f>
        <v>.</v>
      </c>
      <c r="T42" s="315" t="s">
        <v>560</v>
      </c>
      <c r="U42" s="307"/>
      <c r="V42" s="2249"/>
      <c r="W42" s="2250"/>
      <c r="X42" s="2250"/>
      <c r="Y42" s="2250"/>
      <c r="Z42" s="2250"/>
      <c r="AA42" s="2250"/>
      <c r="AB42" s="2251"/>
      <c r="AC42" s="2249" t="str">
        <f>INDEX(PT_DIFFERENTIATION_TER,MATCH(B42,PT_DIFFERENTIATION_TER_ID,0))</f>
        <v/>
      </c>
      <c r="AD42" s="2250"/>
      <c r="AE42" s="2250"/>
      <c r="AF42" s="2250"/>
      <c r="AG42" s="2250"/>
      <c r="AH42" s="2250"/>
      <c r="AI42" s="2250"/>
      <c r="AJ42" s="2251"/>
      <c r="AK42" s="1265" t="s">
        <v>561</v>
      </c>
      <c r="AM42" s="507"/>
      <c r="AN42" s="507" t="str">
        <f>IF(T42="","",T42)</f>
        <v>Территория действия тарифа</v>
      </c>
      <c r="AO42" s="507"/>
      <c r="AP42" s="507"/>
      <c r="AQ42" s="1162">
        <v>23</v>
      </c>
    </row>
    <row customHeight="1" ht="24">
      <c r="A43" s="1370" t="s">
        <v>434</v>
      </c>
      <c r="B43" s="1370" t="s">
        <v>435</v>
      </c>
      <c r="C43" s="1370" t="s">
        <v>436</v>
      </c>
      <c r="D43" s="1370"/>
      <c r="E43" s="2266"/>
      <c r="F43" s="2266"/>
      <c r="G43" s="2265">
        <v>1</v>
      </c>
      <c r="H43" s="1370"/>
      <c r="I43" s="1370"/>
      <c r="J43" s="1370"/>
      <c r="K43" s="1370"/>
      <c r="L43" s="1371"/>
      <c r="M43" s="1372"/>
      <c r="N43" s="1372"/>
      <c r="O43" s="1372"/>
      <c r="P43" s="361"/>
      <c r="Q43" s="359"/>
      <c r="R43" s="360"/>
      <c r="S43" s="1500" t="str">
        <f>INDEX(PT_DIFFERENTIATION_NUM_CS,MATCH(C43,PT_DIFFERENTIATION_CS_ID,0))</f>
        <v>..</v>
      </c>
      <c r="T43" s="316" t="s">
        <v>678</v>
      </c>
      <c r="U43" s="307"/>
      <c r="V43" s="2249"/>
      <c r="W43" s="2250"/>
      <c r="X43" s="2250"/>
      <c r="Y43" s="2250"/>
      <c r="Z43" s="2250"/>
      <c r="AA43" s="2250"/>
      <c r="AB43" s="2251"/>
      <c r="AC43" s="2249" t="str">
        <f>INDEX(PT_DIFFERENTIATION_CS,MATCH(C43,PT_DIFFERENTIATION_CS_ID,0))</f>
        <v/>
      </c>
      <c r="AD43" s="2250"/>
      <c r="AE43" s="2250"/>
      <c r="AF43" s="2250"/>
      <c r="AG43" s="2250"/>
      <c r="AH43" s="2250"/>
      <c r="AI43" s="2250"/>
      <c r="AJ43" s="2251"/>
      <c r="AK43" s="1265" t="s">
        <v>679</v>
      </c>
      <c r="AM43" s="507"/>
      <c r="AN43" s="507" t="str">
        <f>IF(T43="","",T43)</f>
        <v>Наименование централизованной системы водоотведения</v>
      </c>
      <c r="AO43" s="507"/>
      <c r="AP43" s="507"/>
      <c r="AQ43" s="1162">
        <v>23</v>
      </c>
    </row>
    <row customHeight="1" ht="24">
      <c r="A44" s="1370" t="s">
        <v>434</v>
      </c>
      <c r="B44" s="1370" t="s">
        <v>435</v>
      </c>
      <c r="C44" s="1370" t="s">
        <v>436</v>
      </c>
      <c r="D44" s="1370" t="s">
        <v>683</v>
      </c>
      <c r="E44" s="2266"/>
      <c r="F44" s="2266"/>
      <c r="G44" s="2266"/>
      <c r="H44" s="2266"/>
      <c r="I44" s="2263" t="str">
        <f>S43&amp;".1"</f>
        <v>...1</v>
      </c>
      <c r="J44" s="1370"/>
      <c r="K44" s="1370"/>
      <c r="L44" s="1371"/>
      <c r="P44" s="2264">
        <v>1</v>
      </c>
      <c r="Q44" s="1488"/>
      <c r="R44" s="363"/>
      <c r="S44" s="1500" t="str">
        <f>$I44</f>
        <v>...1</v>
      </c>
      <c r="T44" s="292" t="s">
        <v>643</v>
      </c>
      <c r="U44" s="307"/>
      <c r="V44" s="2357"/>
      <c r="W44" s="2358"/>
      <c r="X44" s="2358"/>
      <c r="Y44" s="2358"/>
      <c r="Z44" s="2358"/>
      <c r="AA44" s="2358"/>
      <c r="AB44" s="2359"/>
      <c r="AC44" s="2360"/>
      <c r="AD44" s="2361"/>
      <c r="AE44" s="2361"/>
      <c r="AF44" s="2361"/>
      <c r="AG44" s="2361"/>
      <c r="AH44" s="2361"/>
      <c r="AI44" s="2361"/>
      <c r="AJ44" s="2362"/>
      <c r="AK44" s="1265" t="s">
        <v>644</v>
      </c>
      <c r="AM44" s="507"/>
      <c r="AN44" s="507" t="str">
        <f>IF(T44="","",T44)</f>
        <v>Наименование признака дифференциации</v>
      </c>
      <c r="AO44" s="507"/>
      <c r="AP44" s="507"/>
      <c r="AQ44" s="1162">
        <v>23</v>
      </c>
    </row>
    <row customHeight="1" ht="24">
      <c r="A45" s="1370" t="s">
        <v>434</v>
      </c>
      <c r="B45" s="1370" t="s">
        <v>435</v>
      </c>
      <c r="C45" s="1370" t="s">
        <v>436</v>
      </c>
      <c r="D45" s="1370" t="s">
        <v>683</v>
      </c>
      <c r="E45" s="2266"/>
      <c r="F45" s="2266"/>
      <c r="G45" s="2266"/>
      <c r="H45" s="2266"/>
      <c r="I45" s="2293"/>
      <c r="J45" s="2263" t="str">
        <f>I44&amp;".1"</f>
        <v>...1.1</v>
      </c>
      <c r="K45" s="1370"/>
      <c r="L45" s="1371" t="s">
        <v>569</v>
      </c>
      <c r="P45" s="2264"/>
      <c r="Q45" s="2264">
        <v>1</v>
      </c>
      <c r="R45" s="364"/>
      <c r="S45" s="1500" t="str">
        <f>$J45</f>
        <v>...1.1</v>
      </c>
      <c r="T45" s="293" t="s">
        <v>570</v>
      </c>
      <c r="U45" s="307"/>
      <c r="V45" s="2252"/>
      <c r="W45" s="2253"/>
      <c r="X45" s="2253"/>
      <c r="Y45" s="2253"/>
      <c r="Z45" s="2253"/>
      <c r="AA45" s="2253"/>
      <c r="AB45" s="2254"/>
      <c r="AC45" s="2252"/>
      <c r="AD45" s="2253"/>
      <c r="AE45" s="2253"/>
      <c r="AF45" s="2253"/>
      <c r="AG45" s="2253"/>
      <c r="AH45" s="2253"/>
      <c r="AI45" s="2253"/>
      <c r="AJ45" s="2254"/>
      <c r="AK45" s="1314" t="s">
        <v>645</v>
      </c>
      <c r="AM45" s="507"/>
      <c r="AN45" s="507" t="str">
        <f>IF(T45="","",T45)</f>
        <v>Группа потребителей</v>
      </c>
      <c r="AO45" s="507"/>
      <c r="AP45" s="507"/>
      <c r="AQ45" s="1162">
        <v>23</v>
      </c>
    </row>
    <row customHeight="1" ht="24">
      <c r="A46" s="1370" t="s">
        <v>434</v>
      </c>
      <c r="B46" s="1370" t="s">
        <v>435</v>
      </c>
      <c r="C46" s="1370" t="s">
        <v>436</v>
      </c>
      <c r="D46" s="1370" t="s">
        <v>683</v>
      </c>
      <c r="E46" s="2266"/>
      <c r="F46" s="2266"/>
      <c r="G46" s="2266"/>
      <c r="H46" s="2266"/>
      <c r="I46" s="2293"/>
      <c r="J46" s="2293"/>
      <c r="K46" s="2263" t="str">
        <f>J45&amp;".1"</f>
        <v>...1.1.1</v>
      </c>
      <c r="L46" s="1371"/>
      <c r="P46" s="2264"/>
      <c r="Q46" s="2264"/>
      <c r="R46" s="364">
        <v>1</v>
      </c>
      <c r="S46" s="1500" t="str">
        <f>$K46</f>
        <v>...1.1.1</v>
      </c>
      <c r="T46" s="1444"/>
      <c r="U46" s="307"/>
      <c r="V46" s="1367"/>
      <c r="W46" s="1367"/>
      <c r="X46" s="1368"/>
      <c r="Y46" s="2274"/>
      <c r="Z46" s="2275" t="s">
        <v>66</v>
      </c>
      <c r="AA46" s="2274"/>
      <c r="AB46" s="2275" t="s">
        <v>66</v>
      </c>
      <c r="AC46" s="758"/>
      <c r="AD46" s="758"/>
      <c r="AE46" s="1264"/>
      <c r="AF46" s="2272"/>
      <c r="AG46" s="2114" t="s">
        <v>66</v>
      </c>
      <c r="AH46" s="2294"/>
      <c r="AI46" s="2114" t="s">
        <v>19</v>
      </c>
      <c r="AJ46" s="1445"/>
      <c r="AK46"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8">
        <f>STRCHECKDATE(V47:AJ47)</f>
      </c>
      <c r="AM46" s="507"/>
      <c r="AN46" s="507" t="str">
        <f>IF(T46="","",T46)</f>
        <v/>
      </c>
      <c r="AO46" s="507"/>
      <c r="AP46" s="507"/>
      <c r="AQ46" s="1162">
        <v>23</v>
      </c>
    </row>
    <row customHeight="1" ht="0">
      <c r="A47" s="1370" t="s">
        <v>434</v>
      </c>
      <c r="B47" s="1370" t="s">
        <v>435</v>
      </c>
      <c r="C47" s="1370" t="s">
        <v>436</v>
      </c>
      <c r="D47" s="1370" t="s">
        <v>683</v>
      </c>
      <c r="E47" s="2266"/>
      <c r="F47" s="2266"/>
      <c r="G47" s="2266"/>
      <c r="H47" s="2266"/>
      <c r="I47" s="2293"/>
      <c r="J47" s="2293"/>
      <c r="K47" s="2263"/>
      <c r="L47" s="1371"/>
      <c r="P47" s="2264"/>
      <c r="Q47" s="2264"/>
      <c r="R47" s="364"/>
      <c r="S47" s="1497"/>
      <c r="T47" s="307"/>
      <c r="U47" s="307"/>
      <c r="V47" s="1367"/>
      <c r="W47" s="1367"/>
      <c r="X47" s="335" t="str">
        <f>Y46&amp;"-"&amp;AA46</f>
        <v>-</v>
      </c>
      <c r="Y47" s="2275"/>
      <c r="Z47" s="2275"/>
      <c r="AA47" s="2275"/>
      <c r="AB47" s="2275"/>
      <c r="AC47" s="332"/>
      <c r="AD47" s="332"/>
      <c r="AE47" s="335" t="str">
        <f>AF46&amp;"-"&amp;AH46</f>
        <v>-</v>
      </c>
      <c r="AF47" s="2273"/>
      <c r="AG47" s="2114"/>
      <c r="AH47" s="2295"/>
      <c r="AI47" s="2114"/>
      <c r="AJ47" s="1446"/>
      <c r="AK47" s="2356"/>
      <c r="AM47" s="507"/>
      <c r="AN47" s="507" t="str">
        <f>IF(T47="","",T47)</f>
        <v/>
      </c>
      <c r="AO47" s="507"/>
      <c r="AP47" s="507"/>
      <c r="AQ47" s="1162">
        <v>0</v>
      </c>
    </row>
    <row customHeight="1" ht="21">
      <c r="A48" s="1370" t="s">
        <v>434</v>
      </c>
      <c r="B48" s="1370" t="s">
        <v>435</v>
      </c>
      <c r="C48" s="1370" t="s">
        <v>436</v>
      </c>
      <c r="D48" s="1370" t="s">
        <v>683</v>
      </c>
      <c r="E48" s="2266"/>
      <c r="F48" s="2266"/>
      <c r="G48" s="2266"/>
      <c r="H48" s="2266"/>
      <c r="I48" s="2293"/>
      <c r="J48" s="2263"/>
      <c r="K48" s="1370"/>
      <c r="L48" s="1371"/>
      <c r="P48" s="2264"/>
      <c r="Q48" s="2264"/>
      <c r="R48" s="363"/>
      <c r="S48" s="1285"/>
      <c r="T48" s="294" t="s">
        <v>646</v>
      </c>
      <c r="U48" s="374"/>
      <c r="V48" s="374"/>
      <c r="W48" s="374"/>
      <c r="X48" s="374"/>
      <c r="Y48" s="374"/>
      <c r="Z48" s="374"/>
      <c r="AA48" s="374"/>
      <c r="AB48" s="374"/>
      <c r="AC48" s="374"/>
      <c r="AD48" s="374"/>
      <c r="AE48" s="374"/>
      <c r="AF48" s="374"/>
      <c r="AG48" s="374"/>
      <c r="AH48" s="374"/>
      <c r="AI48" s="374"/>
      <c r="AJ48" s="374"/>
      <c r="AK48" s="1265" t="s">
        <v>647</v>
      </c>
      <c r="AM48" s="507"/>
      <c r="AN48" s="507" t="str">
        <f>IF(T48="","",T48)</f>
        <v>Добавить значение признака дифференциации</v>
      </c>
      <c r="AO48" s="507"/>
      <c r="AP48" s="507"/>
      <c r="AQ48" s="1162">
        <v>20</v>
      </c>
    </row>
    <row customHeight="1" ht="22.049999999999997">
      <c r="A49" s="1370" t="s">
        <v>434</v>
      </c>
      <c r="B49" s="1370" t="s">
        <v>435</v>
      </c>
      <c r="C49" s="1370" t="s">
        <v>436</v>
      </c>
      <c r="D49" s="1370" t="s">
        <v>683</v>
      </c>
      <c r="E49" s="2266"/>
      <c r="F49" s="2266"/>
      <c r="G49" s="2266"/>
      <c r="H49" s="2266"/>
      <c r="I49" s="2263"/>
      <c r="J49" s="1370"/>
      <c r="K49" s="1370"/>
      <c r="L49" s="1371"/>
      <c r="P49" s="2264"/>
      <c r="Q49" s="1488"/>
      <c r="R49" s="363"/>
      <c r="S49" s="1285"/>
      <c r="T49" s="372" t="s">
        <v>575</v>
      </c>
      <c r="U49" s="374"/>
      <c r="V49" s="374"/>
      <c r="W49" s="374"/>
      <c r="X49" s="374"/>
      <c r="Y49" s="374"/>
      <c r="Z49" s="374"/>
      <c r="AA49" s="374"/>
      <c r="AB49" s="373"/>
      <c r="AC49" s="374"/>
      <c r="AD49" s="374"/>
      <c r="AE49" s="374"/>
      <c r="AF49" s="374"/>
      <c r="AG49" s="374"/>
      <c r="AH49" s="374"/>
      <c r="AI49" s="373"/>
      <c r="AJ49" s="374"/>
      <c r="AK49" s="1447"/>
      <c r="AM49" s="507"/>
      <c r="AN49" s="507" t="str">
        <f>IF(T49="","",T49)</f>
        <v>Добавить группу потребителей</v>
      </c>
      <c r="AO49" s="507"/>
      <c r="AP49" s="507"/>
      <c r="AQ49" s="1162">
        <v>21</v>
      </c>
    </row>
    <row customHeight="1" ht="22.049999999999997">
      <c r="A50" s="1370" t="s">
        <v>434</v>
      </c>
      <c r="B50" s="1370" t="s">
        <v>435</v>
      </c>
      <c r="C50" s="1370" t="s">
        <v>436</v>
      </c>
      <c r="D50" s="1370" t="s">
        <v>683</v>
      </c>
      <c r="E50" s="2266"/>
      <c r="F50" s="2266"/>
      <c r="G50" s="2266"/>
      <c r="H50" s="2265"/>
      <c r="I50" s="1370"/>
      <c r="J50" s="1370"/>
      <c r="K50" s="1370"/>
      <c r="L50" s="1371"/>
      <c r="M50" s="1372"/>
      <c r="N50" s="1372"/>
      <c r="O50" s="544"/>
      <c r="P50" s="367"/>
      <c r="Q50" s="382"/>
      <c r="R50" s="362"/>
      <c r="S50" s="1285"/>
      <c r="T50" s="379" t="s">
        <v>648</v>
      </c>
      <c r="U50" s="374"/>
      <c r="V50" s="374"/>
      <c r="W50" s="374"/>
      <c r="X50" s="374"/>
      <c r="Y50" s="374"/>
      <c r="Z50" s="374"/>
      <c r="AA50" s="374"/>
      <c r="AB50" s="373"/>
      <c r="AC50" s="374"/>
      <c r="AD50" s="374"/>
      <c r="AE50" s="374"/>
      <c r="AF50" s="374"/>
      <c r="AG50" s="374"/>
      <c r="AH50" s="374"/>
      <c r="AI50" s="373"/>
      <c r="AJ50" s="374"/>
      <c r="AK50" s="310"/>
      <c r="AM50" s="507"/>
      <c r="AN50" s="507" t="str">
        <f>IF(T50="","",T50)</f>
        <v>Добавить наименование признака дифференциации</v>
      </c>
      <c r="AO50" s="507"/>
      <c r="AP50" s="507"/>
      <c r="AQ50" s="1162">
        <v>21</v>
      </c>
    </row>
    <row s="1649" customFormat="1" customHeight="1" ht="0">
      <c r="A51" s="1350" t="s">
        <v>434</v>
      </c>
      <c r="B51" s="1350" t="s">
        <v>435</v>
      </c>
      <c r="C51" s="1321"/>
      <c r="D51" s="1321"/>
      <c r="E51" s="2266"/>
      <c r="F51" s="2265"/>
      <c r="G51" s="1321"/>
      <c r="H51" s="1321"/>
      <c r="I51" s="1321"/>
      <c r="J51" s="1321"/>
      <c r="K51" s="1321"/>
      <c r="L51" s="1501"/>
      <c r="M51" s="1328"/>
      <c r="N51" s="1328"/>
      <c r="P51" s="1323"/>
      <c r="Q51" s="1324"/>
      <c r="R51" s="1323"/>
      <c r="S51" s="1329"/>
      <c r="T51" s="1332" t="s">
        <v>316</v>
      </c>
      <c r="U51" s="1331"/>
      <c r="V51" s="1331"/>
      <c r="W51" s="1331"/>
      <c r="X51" s="1331"/>
      <c r="Y51" s="1331"/>
      <c r="Z51" s="1331"/>
      <c r="AA51" s="1331"/>
      <c r="AB51" s="1331"/>
      <c r="AC51" s="1331"/>
      <c r="AD51" s="1331"/>
      <c r="AE51" s="1331"/>
      <c r="AF51" s="1331"/>
      <c r="AG51" s="1331"/>
      <c r="AH51" s="1331"/>
      <c r="AI51" s="1331"/>
      <c r="AJ51" s="1331"/>
      <c r="AK51" s="1331"/>
      <c r="AM51" s="796"/>
      <c r="AN51" s="796" t="str">
        <f>IF(T51="","",T51)</f>
        <v>Добавить централизованную систему для дифференциации</v>
      </c>
      <c r="AO51" s="796"/>
      <c r="AP51" s="796"/>
      <c r="AQ51" s="525">
        <v>0</v>
      </c>
    </row>
    <row s="1649" customFormat="1" customHeight="1" ht="0">
      <c r="A52" s="1350" t="s">
        <v>434</v>
      </c>
      <c r="B52" s="1350"/>
      <c r="C52" s="1350"/>
      <c r="D52" s="1350"/>
      <c r="E52" s="2265"/>
      <c r="F52" s="1350"/>
      <c r="G52" s="1350"/>
      <c r="H52" s="1350"/>
      <c r="I52" s="1350"/>
      <c r="J52" s="1350"/>
      <c r="K52" s="1350"/>
      <c r="L52" s="1353"/>
      <c r="M52" s="1328"/>
      <c r="N52" s="1328"/>
      <c r="O52" s="525"/>
      <c r="P52" s="387"/>
      <c r="Q52" s="1351"/>
      <c r="R52" s="387"/>
      <c r="S52" s="1329"/>
      <c r="T52" s="1332" t="s">
        <v>390</v>
      </c>
      <c r="U52" s="1331"/>
      <c r="V52" s="1331"/>
      <c r="W52" s="1331"/>
      <c r="X52" s="1331"/>
      <c r="Y52" s="1331"/>
      <c r="Z52" s="1331"/>
      <c r="AA52" s="1331"/>
      <c r="AB52" s="1331"/>
      <c r="AC52" s="1331"/>
      <c r="AD52" s="1331"/>
      <c r="AE52" s="1331"/>
      <c r="AF52" s="1331"/>
      <c r="AG52" s="1331"/>
      <c r="AH52" s="1331"/>
      <c r="AI52" s="1331"/>
      <c r="AJ52" s="1331"/>
      <c r="AK52" s="1331"/>
      <c r="AM52" s="507"/>
      <c r="AN52" s="507" t="str">
        <f>IF(T52="","",T52)</f>
        <v>Добавить территорию для дифференциации</v>
      </c>
      <c r="AO52" s="507"/>
      <c r="AP52" s="507"/>
      <c r="AQ52" s="518">
        <v>0</v>
      </c>
    </row>
    <row s="1649" customFormat="1" customHeight="1" ht="0">
      <c r="A53" s="1321"/>
      <c r="B53" s="1321"/>
      <c r="C53" s="1321"/>
      <c r="D53" s="1321"/>
      <c r="E53" s="1350"/>
      <c r="F53" s="1321"/>
      <c r="G53" s="1321"/>
      <c r="H53" s="1321"/>
      <c r="I53" s="1321"/>
      <c r="J53" s="1321"/>
      <c r="K53" s="1321"/>
      <c r="L53" s="1501"/>
      <c r="M53" s="1328"/>
      <c r="N53" s="1328"/>
      <c r="P53" s="1323"/>
      <c r="Q53" s="1324"/>
      <c r="R53" s="1323"/>
      <c r="S53" s="1329"/>
      <c r="T53" s="1332" t="s">
        <v>391</v>
      </c>
      <c r="U53" s="1331"/>
      <c r="V53" s="1331"/>
      <c r="W53" s="1331"/>
      <c r="X53" s="1331"/>
      <c r="Y53" s="1331"/>
      <c r="Z53" s="1331"/>
      <c r="AA53" s="1331"/>
      <c r="AB53" s="1331"/>
      <c r="AC53" s="1331"/>
      <c r="AD53" s="1331"/>
      <c r="AE53" s="1331"/>
      <c r="AF53" s="1331"/>
      <c r="AG53" s="1331"/>
      <c r="AH53" s="1331"/>
      <c r="AI53" s="1331"/>
      <c r="AJ53" s="1331"/>
      <c r="AK53" s="1331"/>
      <c r="AM53" s="796"/>
      <c r="AN53" s="796" t="str">
        <f>IF(T53="","",T53)</f>
        <v>Добавить наименование тарифа</v>
      </c>
      <c r="AO53" s="796"/>
      <c r="AP53" s="796"/>
      <c r="AQ53" s="525">
        <v>0</v>
      </c>
    </row>
    <row customHeight="1" ht="11.549999999999999">
      <c r="M54" s="1167"/>
      <c r="N54" s="1167"/>
      <c r="O54" s="544"/>
      <c r="P54" s="1162"/>
      <c r="Q54" s="1162"/>
      <c r="R54" s="1162"/>
      <c r="S54" s="1162"/>
      <c r="AL54" s="1162"/>
      <c r="AM54" s="1162"/>
      <c r="AN54" s="1162"/>
      <c r="AO54" s="1162"/>
      <c r="AP54" s="1162"/>
      <c r="AQ54" s="1162">
        <v>11</v>
      </c>
    </row>
    <row customHeight="1" ht="14.699999999999998">
      <c r="O55" s="544"/>
      <c r="S55" s="1260"/>
      <c r="T55" s="2292"/>
      <c r="U55" s="2292"/>
      <c r="V55" s="2292"/>
      <c r="W55" s="2292"/>
      <c r="X55" s="2292"/>
      <c r="Y55" s="2292"/>
      <c r="Z55" s="2292"/>
      <c r="AA55" s="2292"/>
      <c r="AB55" s="2292"/>
      <c r="AC55" s="2292"/>
      <c r="AD55" s="2292"/>
      <c r="AE55" s="2292"/>
      <c r="AF55" s="2292"/>
      <c r="AG55" s="2292"/>
      <c r="AH55" s="2292"/>
      <c r="AI55" s="2292"/>
      <c r="AJ55" s="2292"/>
      <c r="AK55" s="2292"/>
      <c r="AQ55" s="1162">
        <v>14</v>
      </c>
    </row>
    <row customHeight="1" ht="14.699999999999998">
      <c r="O56" s="544"/>
      <c r="AQ56" s="1162">
        <v>14</v>
      </c>
    </row>
    <row customHeight="1" ht="14.699999999999998">
      <c r="O57" s="544"/>
      <c r="S57" s="1260"/>
      <c r="T57" s="2292"/>
      <c r="U57" s="2292"/>
      <c r="V57" s="2292"/>
      <c r="W57" s="2292"/>
      <c r="X57" s="2292"/>
      <c r="Y57" s="2292"/>
      <c r="Z57" s="2292"/>
      <c r="AA57" s="2292"/>
      <c r="AB57" s="2292"/>
      <c r="AC57" s="2292"/>
      <c r="AD57" s="2292"/>
      <c r="AE57" s="2292"/>
      <c r="AF57" s="2292"/>
      <c r="AG57" s="2292"/>
      <c r="AH57" s="2292"/>
      <c r="AI57" s="2292"/>
      <c r="AJ57" s="2292"/>
      <c r="AK57" s="2292"/>
      <c r="AQ57" s="1162">
        <v>14</v>
      </c>
    </row>
    <row customHeight="1" ht="22.5" hidden="1">
      <c r="A58" s="1167" t="s">
        <v>82</v>
      </c>
      <c r="B58" s="1167">
        <v>0</v>
      </c>
      <c r="C58" s="1167">
        <v>0</v>
      </c>
      <c r="D58" s="1167">
        <v>0</v>
      </c>
      <c r="E58" s="1167">
        <v>0</v>
      </c>
      <c r="F58" s="1167">
        <v>0</v>
      </c>
      <c r="G58" s="1167">
        <v>0</v>
      </c>
      <c r="H58" s="1167">
        <v>0</v>
      </c>
      <c r="I58" s="1167">
        <v>0</v>
      </c>
      <c r="J58" s="1167">
        <v>0</v>
      </c>
      <c r="K58" s="1167">
        <v>0</v>
      </c>
      <c r="L58" s="1485">
        <v>0</v>
      </c>
      <c r="M58" s="1369">
        <v>0</v>
      </c>
      <c r="N58" s="1369">
        <v>0</v>
      </c>
      <c r="O58" s="1369">
        <v>0</v>
      </c>
      <c r="P58" s="1480">
        <v>3</v>
      </c>
      <c r="Q58" s="351">
        <v>3</v>
      </c>
      <c r="R58" s="351">
        <v>3</v>
      </c>
      <c r="S58" s="588">
        <v>12</v>
      </c>
      <c r="T58" s="1162">
        <v>35</v>
      </c>
      <c r="U58" s="1162">
        <v>0</v>
      </c>
      <c r="V58" s="1162">
        <v>0</v>
      </c>
      <c r="W58" s="1162">
        <v>0</v>
      </c>
      <c r="X58" s="1162">
        <v>0</v>
      </c>
      <c r="Y58" s="1162">
        <v>0</v>
      </c>
      <c r="Z58" s="1162">
        <v>0</v>
      </c>
      <c r="AA58" s="1162">
        <v>0</v>
      </c>
      <c r="AB58" s="1162">
        <v>0</v>
      </c>
      <c r="AC58" s="1162">
        <v>24</v>
      </c>
      <c r="AD58" s="1162">
        <v>24</v>
      </c>
      <c r="AE58" s="1162">
        <v>24</v>
      </c>
      <c r="AF58" s="1162">
        <v>11</v>
      </c>
      <c r="AG58" s="1162">
        <v>3</v>
      </c>
      <c r="AH58" s="1162">
        <v>11</v>
      </c>
      <c r="AI58" s="1162">
        <v>0</v>
      </c>
      <c r="AJ58" s="1162">
        <v>4</v>
      </c>
      <c r="AK58" s="1162">
        <v>115</v>
      </c>
      <c r="AL58" s="518">
        <v>10</v>
      </c>
      <c r="AM58" s="518">
        <v>10</v>
      </c>
      <c r="AN58" s="518">
        <v>10</v>
      </c>
      <c r="AO58" s="518">
        <v>10</v>
      </c>
      <c r="AP58" s="518">
        <v>10</v>
      </c>
      <c r="AQ58" s="1162">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184C6D-9B22-166C-B8E3-439F5F0BBFD9}"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73" width="11.57421875" hidden="1" customWidth="1"/>
    <col min="2" max="2" style="1373" width="11.00390625" hidden="1" customWidth="1"/>
    <col min="3" max="3" style="1373" width="10.57421875" hidden="1"/>
    <col min="4" max="4" style="1373" width="12.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1783" width="3.7109375" hidden="1" customWidth="1"/>
    <col min="17" max="17" style="1378" width="3.7109375" hidden="1" customWidth="1"/>
    <col min="18" max="18" style="351" width="3.00390625" customWidth="1"/>
    <col min="19" max="19" style="2414" width="12.00390625" customWidth="1"/>
    <col min="20" max="20" style="1642" width="31.00390625" customWidth="1"/>
    <col min="21" max="21" style="1642" width="0.140625" customWidth="1"/>
    <col min="22" max="25" style="1642" width="21.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3.7109375" customWidth="1"/>
    <col min="31" max="32" style="1642" width="3.00390625" customWidth="1"/>
    <col min="33" max="33" style="1642" width="24.00390625" customWidth="1"/>
    <col min="34" max="34" style="1642" width="3.7109375" customWidth="1"/>
    <col min="35" max="36" style="1642" width="3.00390625" customWidth="1"/>
    <col min="37" max="37" style="1642" width="24.00390625" customWidth="1"/>
    <col min="38" max="38" style="1642" width="3.7109375" customWidth="1"/>
    <col min="39" max="40" style="1642" width="3.00390625" customWidth="1"/>
    <col min="41" max="41" style="1642" width="18.00390625" customWidth="1"/>
    <col min="42" max="42" style="1642" width="3.7109375" customWidth="1"/>
    <col min="43" max="44" style="1642" width="3.00390625" customWidth="1"/>
    <col min="45" max="45" style="1642" width="18.00390625" customWidth="1"/>
    <col min="46" max="49" style="1642" width="21.00390625" customWidth="1"/>
    <col min="50" max="50" style="1642" width="11.00390625" customWidth="1"/>
    <col min="51" max="51" style="1642" width="3.7109375" customWidth="1"/>
    <col min="52" max="52" style="1642" width="11.00390625" customWidth="1"/>
    <col min="53" max="53" style="1642" width="8.57421875" hidden="1" customWidth="1"/>
    <col min="54" max="54" style="1642" width="4.00390625" customWidth="1"/>
    <col min="55" max="55" style="1642" width="115.00390625" customWidth="1"/>
    <col min="56" max="60" style="1649" width="10.00390625" customWidth="1"/>
    <col min="61" max="61" style="1642" width="10.57421875" hidden="1"/>
  </cols>
  <sheetData>
    <row customHeight="1" ht="22.5" hidden="1">
      <c r="W1" s="334"/>
      <c r="Y1" s="334"/>
      <c r="Z1" s="334"/>
      <c r="AW1" s="334"/>
      <c r="AX1" s="334"/>
      <c r="BI1" s="1162" t="s">
        <v>14</v>
      </c>
    </row>
    <row customHeight="1" ht="21" hidden="1">
      <c r="A2" s="1370"/>
      <c r="B2" s="1370"/>
      <c r="C2" s="1370"/>
      <c r="D2" s="1370"/>
      <c r="E2" s="2265">
        <v>1</v>
      </c>
      <c r="F2" s="1370"/>
      <c r="G2" s="1370"/>
      <c r="H2" s="1370"/>
      <c r="I2" s="1370"/>
      <c r="J2" s="1370"/>
      <c r="K2" s="1370"/>
      <c r="L2" s="1371"/>
      <c r="M2" s="1372"/>
      <c r="N2" s="1372"/>
      <c r="O2" s="1372"/>
      <c r="P2" s="1416"/>
      <c r="Q2" s="880"/>
      <c r="R2" s="362"/>
      <c r="S2" s="1500">
        <f>INDEX(PT_DIFFERENTIATION_NUM_NTAR,MATCH(A2,PT_DIFFERENTIATION_NTAR_ID,0))</f>
      </c>
      <c r="T2" s="305" t="s">
        <v>215</v>
      </c>
      <c r="U2" s="307"/>
      <c r="V2" s="2250"/>
      <c r="W2" s="2250"/>
      <c r="X2" s="2250"/>
      <c r="Y2" s="2250"/>
      <c r="Z2" s="2250"/>
      <c r="AA2" s="2250"/>
      <c r="AB2" s="2250"/>
      <c r="AC2" s="2251"/>
      <c r="AD2" s="2249">
        <f>INDEX(PT_DIFFERENTIATION_NTAR,MATCH(A2,PT_DIFFERENTIATION_NTAR_ID,0))</f>
      </c>
      <c r="AE2" s="2250"/>
      <c r="AF2" s="2250"/>
      <c r="AG2" s="2250"/>
      <c r="AH2" s="2250"/>
      <c r="AI2" s="2250"/>
      <c r="AJ2" s="2250"/>
      <c r="AK2" s="2250"/>
      <c r="AL2" s="2250"/>
      <c r="AM2" s="2250"/>
      <c r="AN2" s="2250"/>
      <c r="AO2" s="2250"/>
      <c r="AP2" s="2250"/>
      <c r="AQ2" s="2250"/>
      <c r="AR2" s="2250"/>
      <c r="AS2" s="2250"/>
      <c r="AT2" s="2250"/>
      <c r="AU2" s="2250"/>
      <c r="AV2" s="2250"/>
      <c r="AW2" s="2250"/>
      <c r="AX2" s="2250"/>
      <c r="AY2" s="2250"/>
      <c r="AZ2" s="2250"/>
      <c r="BA2" s="2250"/>
      <c r="BB2" s="2251"/>
      <c r="BC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7"/>
      <c r="BF2" s="507" t="str">
        <f>IF(T2="","",T2)</f>
        <v>Наименование тарифа</v>
      </c>
      <c r="BG2" s="507"/>
      <c r="BH2" s="507"/>
      <c r="BI2" s="1162">
        <v>0</v>
      </c>
    </row>
    <row customHeight="1" ht="21" hidden="1">
      <c r="A3" s="1370"/>
      <c r="B3" s="1370"/>
      <c r="C3" s="1370"/>
      <c r="D3" s="1370"/>
      <c r="E3" s="2266"/>
      <c r="F3" s="2265">
        <v>1</v>
      </c>
      <c r="G3" s="1370"/>
      <c r="H3" s="1370"/>
      <c r="I3" s="1370"/>
      <c r="J3" s="1370"/>
      <c r="K3" s="1370"/>
      <c r="L3" s="1371"/>
      <c r="M3" s="1372"/>
      <c r="N3" s="1372"/>
      <c r="O3" s="1372"/>
      <c r="P3" s="1417"/>
      <c r="Q3" s="1418"/>
      <c r="R3" s="360"/>
      <c r="S3" s="1500">
        <f>INDEX(PT_DIFFERENTIATION_NUM_TER,MATCH(B3,PT_DIFFERENTIATION_TER_ID,0))</f>
      </c>
      <c r="T3" s="315" t="s">
        <v>560</v>
      </c>
      <c r="U3" s="307"/>
      <c r="V3" s="2250"/>
      <c r="W3" s="2250"/>
      <c r="X3" s="2250"/>
      <c r="Y3" s="2250"/>
      <c r="Z3" s="2250"/>
      <c r="AA3" s="2250"/>
      <c r="AB3" s="2250"/>
      <c r="AC3" s="2251"/>
      <c r="AD3" s="2249">
        <f>INDEX(PT_DIFFERENTIATION_TER,MATCH(B3,PT_DIFFERENTIATION_TER_ID,0))</f>
      </c>
      <c r="AE3" s="2250"/>
      <c r="AF3" s="2250"/>
      <c r="AG3" s="2250"/>
      <c r="AH3" s="2250"/>
      <c r="AI3" s="2250"/>
      <c r="AJ3" s="2250"/>
      <c r="AK3" s="2250"/>
      <c r="AL3" s="2250"/>
      <c r="AM3" s="2250"/>
      <c r="AN3" s="2250"/>
      <c r="AO3" s="2250"/>
      <c r="AP3" s="2250"/>
      <c r="AQ3" s="2250"/>
      <c r="AR3" s="2250"/>
      <c r="AS3" s="2250"/>
      <c r="AT3" s="2250"/>
      <c r="AU3" s="2250"/>
      <c r="AV3" s="2250"/>
      <c r="AW3" s="2250"/>
      <c r="AX3" s="2250"/>
      <c r="AY3" s="2250"/>
      <c r="AZ3" s="2250"/>
      <c r="BA3" s="2250"/>
      <c r="BB3" s="2251"/>
      <c r="BC3" s="1265" t="s">
        <v>561</v>
      </c>
      <c r="BE3" s="507"/>
      <c r="BF3" s="507" t="str">
        <f>IF(T3="","",T3)</f>
        <v>Территория действия тарифа</v>
      </c>
      <c r="BG3" s="507"/>
      <c r="BH3" s="507"/>
      <c r="BI3" s="1162">
        <v>0</v>
      </c>
    </row>
    <row customHeight="1" ht="33.75" hidden="1">
      <c r="A4" s="1370"/>
      <c r="B4" s="1370"/>
      <c r="C4" s="1370"/>
      <c r="D4" s="1370"/>
      <c r="E4" s="2266"/>
      <c r="F4" s="2266"/>
      <c r="G4" s="2265">
        <v>1</v>
      </c>
      <c r="H4" s="1370"/>
      <c r="I4" s="1370"/>
      <c r="J4" s="1370"/>
      <c r="K4" s="1370"/>
      <c r="L4" s="1371"/>
      <c r="M4" s="1372"/>
      <c r="N4" s="1372"/>
      <c r="O4" s="1372"/>
      <c r="P4" s="1419"/>
      <c r="Q4" s="1418"/>
      <c r="R4" s="360"/>
      <c r="S4" s="1500">
        <f>INDEX(PT_DIFFERENTIATION_NUM_CS,MATCH(C4,PT_DIFFERENTIATION_CS_ID,0))</f>
      </c>
      <c r="T4" s="316" t="s">
        <v>678</v>
      </c>
      <c r="U4" s="307"/>
      <c r="V4" s="2250"/>
      <c r="W4" s="2250"/>
      <c r="X4" s="2250"/>
      <c r="Y4" s="2250"/>
      <c r="Z4" s="2250"/>
      <c r="AA4" s="2250"/>
      <c r="AB4" s="2250"/>
      <c r="AC4" s="2251"/>
      <c r="AD4" s="2249">
        <f>INDEX(PT_DIFFERENTIATION_CS,MATCH(C4,PT_DIFFERENTIATION_CS_ID,0))</f>
      </c>
      <c r="AE4" s="2250"/>
      <c r="AF4" s="2250"/>
      <c r="AG4" s="2250"/>
      <c r="AH4" s="2250"/>
      <c r="AI4" s="2250"/>
      <c r="AJ4" s="2250"/>
      <c r="AK4" s="2250"/>
      <c r="AL4" s="2250"/>
      <c r="AM4" s="2250"/>
      <c r="AN4" s="2250"/>
      <c r="AO4" s="2250"/>
      <c r="AP4" s="2250"/>
      <c r="AQ4" s="2250"/>
      <c r="AR4" s="2250"/>
      <c r="AS4" s="2250"/>
      <c r="AT4" s="2250"/>
      <c r="AU4" s="2250"/>
      <c r="AV4" s="2250"/>
      <c r="AW4" s="2250"/>
      <c r="AX4" s="2250"/>
      <c r="AY4" s="2250"/>
      <c r="AZ4" s="2250"/>
      <c r="BA4" s="2250"/>
      <c r="BB4" s="2251"/>
      <c r="BC4" s="1265" t="s">
        <v>679</v>
      </c>
      <c r="BE4" s="507"/>
      <c r="BF4" s="507" t="str">
        <f>IF(T4="","",T4)</f>
        <v>Наименование централизованной системы водоотведения</v>
      </c>
      <c r="BG4" s="507"/>
      <c r="BH4" s="507"/>
      <c r="BI4" s="1162">
        <v>0</v>
      </c>
    </row>
    <row s="1649" customFormat="1" customHeight="1" ht="14.25" hidden="1">
      <c r="A5" s="1350"/>
      <c r="B5" s="1350"/>
      <c r="C5" s="1350"/>
      <c r="D5" s="1350"/>
      <c r="E5" s="2266"/>
      <c r="F5" s="2266"/>
      <c r="G5" s="2266"/>
      <c r="H5" s="2265">
        <v>1</v>
      </c>
      <c r="I5" s="1350"/>
      <c r="J5" s="1350"/>
      <c r="K5" s="1350"/>
      <c r="L5" s="1353"/>
      <c r="M5" s="1322"/>
      <c r="N5" s="1322"/>
      <c r="O5" s="1322"/>
      <c r="P5" s="1504"/>
      <c r="Q5" s="1505"/>
      <c r="R5" s="364"/>
      <c r="S5" s="1049"/>
      <c r="T5" s="1506"/>
      <c r="U5" s="1391"/>
      <c r="V5" s="2304"/>
      <c r="W5" s="2304"/>
      <c r="X5" s="2304"/>
      <c r="Y5" s="2304"/>
      <c r="Z5" s="2304"/>
      <c r="AA5" s="2304"/>
      <c r="AB5" s="2304"/>
      <c r="AC5" s="2305"/>
      <c r="AD5" s="2303"/>
      <c r="AE5" s="2304"/>
      <c r="AF5" s="2304"/>
      <c r="AG5" s="2304"/>
      <c r="AH5" s="2304"/>
      <c r="AI5" s="2304"/>
      <c r="AJ5" s="2304"/>
      <c r="AK5" s="2304"/>
      <c r="AL5" s="2304"/>
      <c r="AM5" s="2304"/>
      <c r="AN5" s="2304"/>
      <c r="AO5" s="2304"/>
      <c r="AP5" s="2304"/>
      <c r="AQ5" s="2304"/>
      <c r="AR5" s="2304"/>
      <c r="AS5" s="2304"/>
      <c r="AT5" s="2304"/>
      <c r="AU5" s="2304"/>
      <c r="AV5" s="2304"/>
      <c r="AW5" s="2304"/>
      <c r="AX5" s="2304"/>
      <c r="AY5" s="2304"/>
      <c r="AZ5" s="2304"/>
      <c r="BA5" s="2304"/>
      <c r="BB5" s="2305"/>
      <c r="BC5" s="1392" t="s">
        <v>565</v>
      </c>
      <c r="BE5" s="507"/>
      <c r="BF5" s="507" t="str">
        <f>IF(T5="","",T5)</f>
        <v/>
      </c>
      <c r="BG5" s="507"/>
      <c r="BH5" s="507"/>
      <c r="BI5" s="518">
        <v>0</v>
      </c>
    </row>
    <row s="1649" customFormat="1" customHeight="1" ht="14.25" hidden="1">
      <c r="A6" s="1350"/>
      <c r="B6" s="1350"/>
      <c r="C6" s="1350"/>
      <c r="D6" s="1350"/>
      <c r="E6" s="2266"/>
      <c r="F6" s="2266"/>
      <c r="G6" s="2266"/>
      <c r="H6" s="2266"/>
      <c r="I6" s="2263" t="str">
        <f>S5&amp;".1"</f>
        <v>.1</v>
      </c>
      <c r="J6" s="1350"/>
      <c r="K6" s="1350"/>
      <c r="L6" s="1353" t="s">
        <v>566</v>
      </c>
      <c r="M6" s="517"/>
      <c r="N6" s="517"/>
      <c r="O6" s="517"/>
      <c r="P6" s="2264">
        <v>1</v>
      </c>
      <c r="Q6" s="1488"/>
      <c r="R6" s="363"/>
      <c r="S6" s="1049"/>
      <c r="T6" s="1390"/>
      <c r="U6" s="1391"/>
      <c r="V6" s="2304"/>
      <c r="W6" s="2304"/>
      <c r="X6" s="2304"/>
      <c r="Y6" s="2304"/>
      <c r="Z6" s="2304"/>
      <c r="AA6" s="2304"/>
      <c r="AB6" s="2304"/>
      <c r="AC6" s="2305"/>
      <c r="AD6" s="2303"/>
      <c r="AE6" s="2304"/>
      <c r="AF6" s="2304"/>
      <c r="AG6" s="2304"/>
      <c r="AH6" s="2304"/>
      <c r="AI6" s="2304"/>
      <c r="AJ6" s="2304"/>
      <c r="AK6" s="2304"/>
      <c r="AL6" s="2304"/>
      <c r="AM6" s="2304"/>
      <c r="AN6" s="2304"/>
      <c r="AO6" s="2304"/>
      <c r="AP6" s="2304"/>
      <c r="AQ6" s="2304"/>
      <c r="AR6" s="2304"/>
      <c r="AS6" s="2304"/>
      <c r="AT6" s="2304"/>
      <c r="AU6" s="2304"/>
      <c r="AV6" s="2304"/>
      <c r="AW6" s="2304"/>
      <c r="AX6" s="2304"/>
      <c r="AY6" s="2304"/>
      <c r="AZ6" s="2304"/>
      <c r="BA6" s="2304"/>
      <c r="BB6" s="2305"/>
      <c r="BC6" s="1392"/>
      <c r="BE6" s="507"/>
      <c r="BF6" s="507" t="str">
        <f>IF(T6="","",T6)</f>
        <v/>
      </c>
      <c r="BG6" s="507"/>
      <c r="BH6" s="507"/>
      <c r="BI6" s="518">
        <v>0</v>
      </c>
    </row>
    <row s="1649" customFormat="1" customHeight="1" ht="14.25" hidden="1">
      <c r="A7" s="1350"/>
      <c r="B7" s="1350"/>
      <c r="C7" s="1350"/>
      <c r="D7" s="1350"/>
      <c r="E7" s="2266"/>
      <c r="F7" s="2266"/>
      <c r="G7" s="2266"/>
      <c r="H7" s="2266"/>
      <c r="I7" s="2293"/>
      <c r="J7" s="2263" t="str">
        <f>S5&amp;".1"</f>
        <v>.1</v>
      </c>
      <c r="K7" s="1350"/>
      <c r="L7" s="1353"/>
      <c r="M7" s="517"/>
      <c r="N7" s="517"/>
      <c r="O7" s="517"/>
      <c r="P7" s="2264"/>
      <c r="Q7" s="2264">
        <v>1</v>
      </c>
      <c r="R7" s="364"/>
      <c r="S7" s="1049"/>
      <c r="T7" s="1406"/>
      <c r="U7" s="1391"/>
      <c r="V7" s="2304"/>
      <c r="W7" s="2304"/>
      <c r="X7" s="2304"/>
      <c r="Y7" s="2304"/>
      <c r="Z7" s="2304"/>
      <c r="AA7" s="2304"/>
      <c r="AB7" s="2304"/>
      <c r="AC7" s="2305"/>
      <c r="AD7" s="2303"/>
      <c r="AE7" s="2304"/>
      <c r="AF7" s="2304"/>
      <c r="AG7" s="2304"/>
      <c r="AH7" s="2304"/>
      <c r="AI7" s="2304"/>
      <c r="AJ7" s="2304"/>
      <c r="AK7" s="2304"/>
      <c r="AL7" s="2304"/>
      <c r="AM7" s="2304"/>
      <c r="AN7" s="2304"/>
      <c r="AO7" s="2304"/>
      <c r="AP7" s="2304"/>
      <c r="AQ7" s="2304"/>
      <c r="AR7" s="2304"/>
      <c r="AS7" s="2304"/>
      <c r="AT7" s="2304"/>
      <c r="AU7" s="2304"/>
      <c r="AV7" s="2304"/>
      <c r="AW7" s="2304"/>
      <c r="AX7" s="2304"/>
      <c r="AY7" s="2304"/>
      <c r="AZ7" s="2304"/>
      <c r="BA7" s="2304"/>
      <c r="BB7" s="2305"/>
      <c r="BC7" s="1392"/>
      <c r="BE7" s="507"/>
      <c r="BF7" s="507" t="str">
        <f>IF(T7="","",T7)</f>
        <v/>
      </c>
      <c r="BG7" s="507"/>
      <c r="BH7" s="507"/>
      <c r="BI7" s="518">
        <v>0</v>
      </c>
    </row>
    <row customHeight="1" ht="11.25" hidden="1">
      <c r="A8" s="1370"/>
      <c r="B8" s="1370"/>
      <c r="C8" s="1370"/>
      <c r="D8" s="1370"/>
      <c r="E8" s="2266"/>
      <c r="F8" s="2266"/>
      <c r="G8" s="2266"/>
      <c r="H8" s="2266"/>
      <c r="I8" s="2293"/>
      <c r="J8" s="2293"/>
      <c r="K8" s="2263">
        <f>S4&amp;".1"</f>
      </c>
      <c r="L8" s="1371"/>
      <c r="P8" s="2264"/>
      <c r="Q8" s="2264"/>
      <c r="R8" s="2354">
        <v>1</v>
      </c>
      <c r="S8" s="2348">
        <f>$K8</f>
      </c>
      <c r="T8" s="2367"/>
      <c r="U8" s="307"/>
      <c r="V8" s="758"/>
      <c r="W8" s="1264"/>
      <c r="X8" s="758"/>
      <c r="Y8" s="1264"/>
      <c r="Z8" s="1741"/>
      <c r="AA8" s="1476" t="s">
        <v>66</v>
      </c>
      <c r="AB8" s="1741"/>
      <c r="AC8" s="1476" t="s">
        <v>66</v>
      </c>
      <c r="AD8" s="2192" t="s">
        <v>66</v>
      </c>
      <c r="AE8" s="2333"/>
      <c r="AF8" s="2212">
        <v>1</v>
      </c>
      <c r="AG8" s="2370"/>
      <c r="AH8" s="2114" t="s">
        <v>66</v>
      </c>
      <c r="AI8" s="2333"/>
      <c r="AJ8" s="2212">
        <v>1</v>
      </c>
      <c r="AK8" s="2334" t="s">
        <v>28</v>
      </c>
      <c r="AL8" s="2114" t="s">
        <v>66</v>
      </c>
      <c r="AM8" s="2199"/>
      <c r="AN8" s="2212">
        <v>1</v>
      </c>
      <c r="AO8" s="2364"/>
      <c r="AP8" s="2365" t="s">
        <v>66</v>
      </c>
      <c r="AQ8" s="318"/>
      <c r="AR8" s="1493">
        <v>1</v>
      </c>
      <c r="AS8" s="1499" t="s">
        <v>28</v>
      </c>
      <c r="AT8" s="758"/>
      <c r="AU8" s="1264"/>
      <c r="AV8" s="758"/>
      <c r="AW8" s="1264"/>
      <c r="AX8" s="1741"/>
      <c r="AY8" s="1476" t="s">
        <v>66</v>
      </c>
      <c r="AZ8" s="1741"/>
      <c r="BA8" s="1476" t="s">
        <v>66</v>
      </c>
      <c r="BB8" s="1355"/>
      <c r="BC8" s="2260" t="s">
        <v>663</v>
      </c>
      <c r="BE8" s="507"/>
      <c r="BF8" s="507" t="str">
        <f>IF(T8="","",T8)</f>
        <v/>
      </c>
      <c r="BG8" s="507"/>
      <c r="BH8" s="507"/>
      <c r="BI8" s="1162">
        <v>0</v>
      </c>
    </row>
    <row customHeight="1" ht="11.25" hidden="1">
      <c r="A9" s="1370"/>
      <c r="B9" s="1370"/>
      <c r="C9" s="1370"/>
      <c r="D9" s="1370"/>
      <c r="E9" s="2266"/>
      <c r="F9" s="2266"/>
      <c r="G9" s="2266"/>
      <c r="H9" s="2266"/>
      <c r="I9" s="2293"/>
      <c r="J9" s="2293"/>
      <c r="K9" s="2263"/>
      <c r="L9" s="1371"/>
      <c r="P9" s="2264"/>
      <c r="Q9" s="2264"/>
      <c r="R9" s="2354"/>
      <c r="S9" s="2349"/>
      <c r="T9" s="2368"/>
      <c r="U9" s="307"/>
      <c r="V9" s="1400"/>
      <c r="W9" s="1503"/>
      <c r="X9" s="1400"/>
      <c r="Y9" s="1503"/>
      <c r="Z9" s="1400"/>
      <c r="AA9" s="1400"/>
      <c r="AB9" s="1400"/>
      <c r="AC9" s="1400"/>
      <c r="AD9" s="2193"/>
      <c r="AE9" s="2333"/>
      <c r="AF9" s="2212"/>
      <c r="AG9" s="2370"/>
      <c r="AH9" s="2114"/>
      <c r="AI9" s="2333"/>
      <c r="AJ9" s="2212"/>
      <c r="AK9" s="2334"/>
      <c r="AL9" s="2114"/>
      <c r="AM9" s="2207"/>
      <c r="AN9" s="2212"/>
      <c r="AO9" s="2364"/>
      <c r="AP9" s="2366"/>
      <c r="AQ9" s="323"/>
      <c r="AR9" s="423"/>
      <c r="AS9" s="423" t="s">
        <v>664</v>
      </c>
      <c r="AT9" s="1400"/>
      <c r="AU9" s="1503"/>
      <c r="AV9" s="1400"/>
      <c r="AW9" s="1503"/>
      <c r="AX9" s="1400"/>
      <c r="AY9" s="1400"/>
      <c r="AZ9" s="1400"/>
      <c r="BA9" s="1400"/>
      <c r="BB9" s="1404"/>
      <c r="BC9" s="2261"/>
      <c r="BE9" s="507"/>
      <c r="BF9" s="507"/>
      <c r="BG9" s="507"/>
      <c r="BH9" s="507"/>
      <c r="BI9" s="1162">
        <v>0</v>
      </c>
    </row>
    <row customHeight="1" ht="11.25" hidden="1">
      <c r="A10" s="1370"/>
      <c r="B10" s="1370"/>
      <c r="C10" s="1370"/>
      <c r="D10" s="1370"/>
      <c r="E10" s="2266"/>
      <c r="F10" s="2266"/>
      <c r="G10" s="2266"/>
      <c r="H10" s="2266"/>
      <c r="I10" s="2293"/>
      <c r="J10" s="2293"/>
      <c r="K10" s="2263"/>
      <c r="L10" s="1371"/>
      <c r="P10" s="2264"/>
      <c r="Q10" s="2264"/>
      <c r="R10" s="2354"/>
      <c r="S10" s="2349"/>
      <c r="T10" s="2368"/>
      <c r="U10" s="307"/>
      <c r="V10" s="1400"/>
      <c r="W10" s="1503"/>
      <c r="X10" s="1400"/>
      <c r="Y10" s="1503"/>
      <c r="Z10" s="1400"/>
      <c r="AA10" s="1400"/>
      <c r="AB10" s="1400"/>
      <c r="AC10" s="1400"/>
      <c r="AD10" s="2193"/>
      <c r="AE10" s="2333"/>
      <c r="AF10" s="2212"/>
      <c r="AG10" s="2370"/>
      <c r="AH10" s="2114"/>
      <c r="AI10" s="2333"/>
      <c r="AJ10" s="2212"/>
      <c r="AK10" s="2334"/>
      <c r="AL10" s="2114"/>
      <c r="AM10" s="323"/>
      <c r="AN10" s="1507"/>
      <c r="AO10" s="1507" t="s">
        <v>684</v>
      </c>
      <c r="AP10" s="423"/>
      <c r="AQ10" s="423"/>
      <c r="AR10" s="423"/>
      <c r="AS10" s="1400"/>
      <c r="AT10" s="1400"/>
      <c r="AU10" s="1503"/>
      <c r="AV10" s="1400"/>
      <c r="AW10" s="1503"/>
      <c r="AX10" s="1400"/>
      <c r="AY10" s="1400"/>
      <c r="AZ10" s="1400"/>
      <c r="BA10" s="1400"/>
      <c r="BB10" s="1404"/>
      <c r="BC10" s="2261"/>
      <c r="BE10" s="507"/>
      <c r="BF10" s="507"/>
      <c r="BG10" s="507"/>
      <c r="BH10" s="507"/>
      <c r="BI10" s="1162">
        <v>0</v>
      </c>
    </row>
    <row customHeight="1" ht="11.25" hidden="1">
      <c r="A11" s="1370"/>
      <c r="B11" s="1370"/>
      <c r="C11" s="1370"/>
      <c r="D11" s="1370"/>
      <c r="E11" s="2266"/>
      <c r="F11" s="2266"/>
      <c r="G11" s="2266"/>
      <c r="H11" s="2266"/>
      <c r="I11" s="2293"/>
      <c r="J11" s="2293"/>
      <c r="K11" s="2263"/>
      <c r="L11" s="1371"/>
      <c r="P11" s="2264"/>
      <c r="Q11" s="2264"/>
      <c r="R11" s="2354"/>
      <c r="S11" s="2349"/>
      <c r="T11" s="2368"/>
      <c r="U11" s="307"/>
      <c r="V11" s="1400"/>
      <c r="W11" s="1503"/>
      <c r="X11" s="1400"/>
      <c r="Y11" s="1503"/>
      <c r="Z11" s="1400"/>
      <c r="AA11" s="1400"/>
      <c r="AB11" s="1400"/>
      <c r="AC11" s="1400"/>
      <c r="AD11" s="2193"/>
      <c r="AE11" s="2333"/>
      <c r="AF11" s="2212"/>
      <c r="AG11" s="2370"/>
      <c r="AH11" s="2114"/>
      <c r="AI11" s="301"/>
      <c r="AJ11" s="422"/>
      <c r="AK11" s="320" t="s">
        <v>685</v>
      </c>
      <c r="AL11" s="1400"/>
      <c r="AM11" s="1400"/>
      <c r="AN11" s="1400"/>
      <c r="AO11" s="1400"/>
      <c r="AP11" s="1400"/>
      <c r="AQ11" s="1400"/>
      <c r="AR11" s="1400"/>
      <c r="AS11" s="1400"/>
      <c r="AT11" s="1400"/>
      <c r="AU11" s="1503"/>
      <c r="AV11" s="1400"/>
      <c r="AW11" s="1503"/>
      <c r="AX11" s="1400"/>
      <c r="AY11" s="1400"/>
      <c r="AZ11" s="1400"/>
      <c r="BA11" s="1400"/>
      <c r="BB11" s="1404"/>
      <c r="BC11" s="2261"/>
      <c r="BE11" s="507"/>
      <c r="BF11" s="507"/>
      <c r="BG11" s="507"/>
      <c r="BH11" s="507"/>
      <c r="BI11" s="1162">
        <v>0</v>
      </c>
    </row>
    <row customHeight="1" ht="11.25" hidden="1">
      <c r="A12" s="1370"/>
      <c r="B12" s="1370"/>
      <c r="C12" s="1370"/>
      <c r="D12" s="1370"/>
      <c r="E12" s="2266"/>
      <c r="F12" s="2266"/>
      <c r="G12" s="2266"/>
      <c r="H12" s="2266"/>
      <c r="I12" s="2293"/>
      <c r="J12" s="2293"/>
      <c r="K12" s="2263"/>
      <c r="L12" s="1371"/>
      <c r="P12" s="2264"/>
      <c r="Q12" s="2264"/>
      <c r="R12" s="2354"/>
      <c r="S12" s="2350"/>
      <c r="T12" s="2369"/>
      <c r="U12" s="307"/>
      <c r="V12" s="1400"/>
      <c r="W12" s="1401" t="str">
        <f>Z8&amp;"-"&amp;AB8</f>
        <v>-</v>
      </c>
      <c r="X12" s="1400"/>
      <c r="Y12" s="1401" t="str">
        <f>AB8&amp;"-"&amp;AD8</f>
        <v>-да</v>
      </c>
      <c r="Z12" s="1400"/>
      <c r="AA12" s="1400"/>
      <c r="AB12" s="1400"/>
      <c r="AC12" s="1400"/>
      <c r="AD12" s="2119"/>
      <c r="AE12" s="319"/>
      <c r="AF12" s="321"/>
      <c r="AG12" s="423" t="s">
        <v>667</v>
      </c>
      <c r="AH12" s="1400"/>
      <c r="AI12" s="1400"/>
      <c r="AJ12" s="1400"/>
      <c r="AK12" s="1400"/>
      <c r="AL12" s="1400"/>
      <c r="AM12" s="1400"/>
      <c r="AN12" s="1400"/>
      <c r="AO12" s="1400"/>
      <c r="AP12" s="1400"/>
      <c r="AQ12" s="1400"/>
      <c r="AR12" s="1400"/>
      <c r="AS12" s="1400"/>
      <c r="AT12" s="1400"/>
      <c r="AU12" s="1401" t="str">
        <f>AX8&amp;"-"&amp;AZ8</f>
        <v>-</v>
      </c>
      <c r="AV12" s="1400"/>
      <c r="AW12" s="1401" t="str">
        <f>AZ8&amp;"-"&amp;BB8</f>
        <v>-</v>
      </c>
      <c r="AX12" s="1400"/>
      <c r="AY12" s="1400"/>
      <c r="AZ12" s="1400"/>
      <c r="BA12" s="1400"/>
      <c r="BB12" s="1403" t="str">
        <f>BE8&amp;"-"&amp;BG8</f>
        <v>-</v>
      </c>
      <c r="BC12" s="2261"/>
      <c r="BE12" s="507"/>
      <c r="BF12" s="507" t="str">
        <f>IF(T12="","",T12)</f>
        <v/>
      </c>
      <c r="BG12" s="507"/>
      <c r="BH12" s="507"/>
      <c r="BI12" s="1162">
        <v>0</v>
      </c>
    </row>
    <row customHeight="1" ht="11.25" hidden="1">
      <c r="A13" s="1370"/>
      <c r="B13" s="1370"/>
      <c r="C13" s="1370"/>
      <c r="D13" s="1370"/>
      <c r="E13" s="2266"/>
      <c r="F13" s="2266"/>
      <c r="G13" s="2266"/>
      <c r="H13" s="2266"/>
      <c r="I13" s="2293"/>
      <c r="J13" s="2263"/>
      <c r="K13" s="1370"/>
      <c r="L13" s="1371"/>
      <c r="P13" s="2264"/>
      <c r="Q13" s="2264"/>
      <c r="R13" s="363"/>
      <c r="S13" s="1285"/>
      <c r="T13" s="294" t="s">
        <v>628</v>
      </c>
      <c r="U13" s="374"/>
      <c r="V13" s="374"/>
      <c r="W13" s="374"/>
      <c r="X13" s="374"/>
      <c r="Y13" s="374"/>
      <c r="Z13" s="374"/>
      <c r="AA13" s="374"/>
      <c r="AB13" s="374"/>
      <c r="AC13" s="374"/>
      <c r="AD13" s="1512"/>
      <c r="AE13" s="374"/>
      <c r="AF13" s="374"/>
      <c r="AG13" s="374"/>
      <c r="AH13" s="374"/>
      <c r="AI13" s="374"/>
      <c r="AJ13" s="374"/>
      <c r="AK13" s="374"/>
      <c r="AL13" s="374"/>
      <c r="AM13" s="374"/>
      <c r="AN13" s="374"/>
      <c r="AO13" s="374"/>
      <c r="AP13" s="374"/>
      <c r="AQ13" s="374"/>
      <c r="AR13" s="374"/>
      <c r="AS13" s="374"/>
      <c r="AT13" s="374"/>
      <c r="AU13" s="374"/>
      <c r="AV13" s="374"/>
      <c r="AW13" s="374"/>
      <c r="AX13" s="374"/>
      <c r="AY13" s="374"/>
      <c r="AZ13" s="374"/>
      <c r="BA13" s="374"/>
      <c r="BB13" s="331"/>
      <c r="BC13" s="2262"/>
      <c r="BE13" s="507"/>
      <c r="BF13" s="507" t="str">
        <f>IF(T13="","",T13)</f>
        <v>Добавить строку</v>
      </c>
      <c r="BG13" s="507"/>
      <c r="BH13" s="507"/>
      <c r="BI13" s="1162">
        <v>0</v>
      </c>
    </row>
    <row s="1649" customFormat="1" customHeight="1" ht="14.25" hidden="1">
      <c r="A14" s="1350"/>
      <c r="B14" s="1350"/>
      <c r="C14" s="1350"/>
      <c r="D14" s="1350"/>
      <c r="E14" s="2266"/>
      <c r="F14" s="2266"/>
      <c r="G14" s="2266"/>
      <c r="H14" s="2266"/>
      <c r="I14" s="2263"/>
      <c r="J14" s="1350"/>
      <c r="K14" s="1350"/>
      <c r="L14" s="1353"/>
      <c r="M14" s="517"/>
      <c r="N14" s="517"/>
      <c r="O14" s="517"/>
      <c r="P14" s="2264"/>
      <c r="Q14" s="1488"/>
      <c r="R14" s="363"/>
      <c r="S14" s="1393"/>
      <c r="T14" s="1394"/>
      <c r="U14" s="1395"/>
      <c r="V14" s="1395"/>
      <c r="W14" s="1395"/>
      <c r="X14" s="1395"/>
      <c r="Y14" s="1395"/>
      <c r="Z14" s="1395"/>
      <c r="AA14" s="1395"/>
      <c r="AB14" s="1395"/>
      <c r="AC14" s="1395"/>
      <c r="AD14" s="1395"/>
      <c r="AE14" s="1395"/>
      <c r="AF14" s="1395"/>
      <c r="AG14" s="1395"/>
      <c r="AH14" s="1395"/>
      <c r="AI14" s="1395"/>
      <c r="AJ14" s="1395"/>
      <c r="AK14" s="1395"/>
      <c r="AL14" s="1395"/>
      <c r="AM14" s="1395"/>
      <c r="AN14" s="1395"/>
      <c r="AO14" s="1395"/>
      <c r="AP14" s="1395"/>
      <c r="AQ14" s="1395"/>
      <c r="AR14" s="1395"/>
      <c r="AS14" s="1395"/>
      <c r="AT14" s="1395"/>
      <c r="AU14" s="1395"/>
      <c r="AV14" s="1395"/>
      <c r="AW14" s="1395"/>
      <c r="AX14" s="1395"/>
      <c r="AY14" s="1395"/>
      <c r="AZ14" s="1395"/>
      <c r="BA14" s="1395"/>
      <c r="BB14" s="1395"/>
      <c r="BC14" s="1396"/>
      <c r="BE14" s="507"/>
      <c r="BF14" s="507" t="str">
        <f>IF(T14="","",T14)</f>
        <v/>
      </c>
      <c r="BG14" s="507"/>
      <c r="BH14" s="507"/>
      <c r="BI14" s="518">
        <v>0</v>
      </c>
    </row>
    <row s="1649" customFormat="1" customHeight="1" ht="14.25" hidden="1">
      <c r="A15" s="1350"/>
      <c r="B15" s="1350"/>
      <c r="C15" s="1350"/>
      <c r="D15" s="1350"/>
      <c r="E15" s="2266"/>
      <c r="F15" s="2266"/>
      <c r="G15" s="2266"/>
      <c r="H15" s="2265"/>
      <c r="I15" s="1350"/>
      <c r="J15" s="1350"/>
      <c r="K15" s="1350"/>
      <c r="L15" s="1353"/>
      <c r="M15" s="1322"/>
      <c r="N15" s="1322"/>
      <c r="O15" s="525"/>
      <c r="P15" s="387"/>
      <c r="Q15" s="1351"/>
      <c r="R15" s="1408"/>
      <c r="S15" s="1393"/>
      <c r="T15" s="1394"/>
      <c r="U15" s="1395"/>
      <c r="V15" s="1395"/>
      <c r="W15" s="1395"/>
      <c r="X15" s="1395"/>
      <c r="Y15" s="1395"/>
      <c r="Z15" s="1395"/>
      <c r="AA15" s="1395"/>
      <c r="AB15" s="1395"/>
      <c r="AC15" s="1395"/>
      <c r="AD15" s="1395"/>
      <c r="AE15" s="1395"/>
      <c r="AF15" s="1395"/>
      <c r="AG15" s="1395"/>
      <c r="AH15" s="1395"/>
      <c r="AI15" s="1395"/>
      <c r="AJ15" s="1395"/>
      <c r="AK15" s="1395"/>
      <c r="AL15" s="1395"/>
      <c r="AM15" s="1395"/>
      <c r="AN15" s="1395"/>
      <c r="AO15" s="1395"/>
      <c r="AP15" s="1395"/>
      <c r="AQ15" s="1395"/>
      <c r="AR15" s="1395"/>
      <c r="AS15" s="1395"/>
      <c r="AT15" s="1395"/>
      <c r="AU15" s="1395"/>
      <c r="AV15" s="1395"/>
      <c r="AW15" s="1395"/>
      <c r="AX15" s="1395"/>
      <c r="AY15" s="1395"/>
      <c r="AZ15" s="1395"/>
      <c r="BA15" s="1395"/>
      <c r="BB15" s="1395"/>
      <c r="BC15" s="1396"/>
      <c r="BE15" s="507"/>
      <c r="BF15" s="507" t="str">
        <f>IF(T15="","",T15)</f>
        <v/>
      </c>
      <c r="BG15" s="507"/>
      <c r="BH15" s="507"/>
      <c r="BI15" s="518">
        <v>0</v>
      </c>
    </row>
    <row s="1649" customFormat="1" customHeight="1" ht="14.25" hidden="1">
      <c r="A16" s="1350"/>
      <c r="B16" s="1350"/>
      <c r="C16" s="1350"/>
      <c r="D16" s="1321"/>
      <c r="E16" s="2266"/>
      <c r="F16" s="2266"/>
      <c r="G16" s="2265"/>
      <c r="H16" s="1321"/>
      <c r="I16" s="1321"/>
      <c r="J16" s="1321"/>
      <c r="K16" s="1321"/>
      <c r="L16" s="1501"/>
      <c r="M16" s="1322"/>
      <c r="N16" s="1322"/>
      <c r="P16" s="1323"/>
      <c r="Q16" s="1324"/>
      <c r="R16" s="1323"/>
      <c r="S16" s="1329"/>
      <c r="T16" s="1332"/>
      <c r="U16" s="1331"/>
      <c r="V16" s="1331"/>
      <c r="W16" s="1331"/>
      <c r="X16" s="1331"/>
      <c r="Y16" s="1331"/>
      <c r="Z16" s="1331"/>
      <c r="AA16" s="1331"/>
      <c r="AB16" s="1331"/>
      <c r="AC16" s="1331"/>
      <c r="AD16" s="1331"/>
      <c r="AE16" s="1331"/>
      <c r="AF16" s="1331"/>
      <c r="AG16" s="1331"/>
      <c r="AH16" s="1331"/>
      <c r="AI16" s="1331"/>
      <c r="AJ16" s="1331"/>
      <c r="AK16" s="1331"/>
      <c r="AL16" s="1331"/>
      <c r="AM16" s="1331"/>
      <c r="AN16" s="1331"/>
      <c r="AO16" s="1331"/>
      <c r="AP16" s="1331"/>
      <c r="AQ16" s="1331"/>
      <c r="AR16" s="1331"/>
      <c r="AS16" s="1331"/>
      <c r="AT16" s="1331"/>
      <c r="AU16" s="1331"/>
      <c r="AV16" s="1331"/>
      <c r="AW16" s="1331"/>
      <c r="AX16" s="1331"/>
      <c r="AY16" s="1331"/>
      <c r="AZ16" s="1331"/>
      <c r="BA16" s="1331"/>
      <c r="BB16" s="1331"/>
      <c r="BC16" s="1331"/>
      <c r="BE16" s="796"/>
      <c r="BF16" s="796" t="str">
        <f>IF(T16="","",T16)</f>
        <v/>
      </c>
      <c r="BG16" s="796"/>
      <c r="BH16" s="796"/>
      <c r="BI16" s="525">
        <v>0</v>
      </c>
    </row>
    <row s="1649" customFormat="1" customHeight="1" ht="14.25" hidden="1">
      <c r="A17" s="1350"/>
      <c r="B17" s="1350"/>
      <c r="C17" s="1321"/>
      <c r="D17" s="1321"/>
      <c r="E17" s="2266"/>
      <c r="F17" s="2265"/>
      <c r="G17" s="1321"/>
      <c r="H17" s="1321"/>
      <c r="I17" s="1321"/>
      <c r="J17" s="1321"/>
      <c r="K17" s="1321"/>
      <c r="L17" s="1501"/>
      <c r="M17" s="1328"/>
      <c r="N17" s="1328"/>
      <c r="P17" s="1323"/>
      <c r="Q17" s="1324"/>
      <c r="R17" s="1323"/>
      <c r="S17" s="1329"/>
      <c r="T17" s="1332" t="s">
        <v>316</v>
      </c>
      <c r="U17" s="1331"/>
      <c r="V17" s="1331"/>
      <c r="W17" s="1331"/>
      <c r="X17" s="1331"/>
      <c r="Y17" s="1331"/>
      <c r="Z17" s="1331"/>
      <c r="AA17" s="1331"/>
      <c r="AB17" s="1331"/>
      <c r="AC17" s="1331"/>
      <c r="AD17" s="1331"/>
      <c r="AE17" s="1331"/>
      <c r="AF17" s="1331"/>
      <c r="AG17" s="1331"/>
      <c r="AH17" s="1331"/>
      <c r="AI17" s="1331"/>
      <c r="AJ17" s="1331"/>
      <c r="AK17" s="1331"/>
      <c r="AL17" s="1331"/>
      <c r="AM17" s="1331"/>
      <c r="AN17" s="1331"/>
      <c r="AO17" s="1331"/>
      <c r="AP17" s="1331"/>
      <c r="AQ17" s="1331"/>
      <c r="AR17" s="1331"/>
      <c r="AS17" s="1331"/>
      <c r="AT17" s="1331"/>
      <c r="AU17" s="1331"/>
      <c r="AV17" s="1331"/>
      <c r="AW17" s="1331"/>
      <c r="AX17" s="1331"/>
      <c r="AY17" s="1331"/>
      <c r="AZ17" s="1331"/>
      <c r="BA17" s="1331"/>
      <c r="BB17" s="1331"/>
      <c r="BC17" s="1331"/>
      <c r="BE17" s="796"/>
      <c r="BF17" s="796" t="str">
        <f>IF(T17="","",T17)</f>
        <v>Добавить централизованную систему для дифференциации</v>
      </c>
      <c r="BG17" s="796"/>
      <c r="BH17" s="796"/>
      <c r="BI17" s="525">
        <v>0</v>
      </c>
    </row>
    <row s="1649" customFormat="1" customHeight="1" ht="14.25" hidden="1">
      <c r="A18" s="1350"/>
      <c r="B18" s="1350"/>
      <c r="C18" s="1350"/>
      <c r="D18" s="1350"/>
      <c r="E18" s="2265"/>
      <c r="F18" s="1350"/>
      <c r="G18" s="1350"/>
      <c r="H18" s="1350"/>
      <c r="I18" s="1350"/>
      <c r="J18" s="1350"/>
      <c r="K18" s="1350"/>
      <c r="L18" s="1353"/>
      <c r="M18" s="1328"/>
      <c r="N18" s="1328"/>
      <c r="O18" s="525"/>
      <c r="P18" s="387"/>
      <c r="Q18" s="1351"/>
      <c r="R18" s="387"/>
      <c r="S18" s="1329"/>
      <c r="T18" s="1332" t="s">
        <v>390</v>
      </c>
      <c r="U18" s="1331"/>
      <c r="V18" s="1331"/>
      <c r="W18" s="1331"/>
      <c r="X18" s="1331"/>
      <c r="Y18" s="1331"/>
      <c r="Z18" s="1331"/>
      <c r="AA18" s="1331"/>
      <c r="AB18" s="1331"/>
      <c r="AC18" s="1331"/>
      <c r="AD18" s="1331"/>
      <c r="AE18" s="1331"/>
      <c r="AF18" s="1331"/>
      <c r="AG18" s="1331"/>
      <c r="AH18" s="1331"/>
      <c r="AI18" s="1331"/>
      <c r="AJ18" s="1331"/>
      <c r="AK18" s="1331"/>
      <c r="AL18" s="1331"/>
      <c r="AM18" s="1331"/>
      <c r="AN18" s="1331"/>
      <c r="AO18" s="1331"/>
      <c r="AP18" s="1331"/>
      <c r="AQ18" s="1331"/>
      <c r="AR18" s="1331"/>
      <c r="AS18" s="1331"/>
      <c r="AT18" s="1331"/>
      <c r="AU18" s="1331"/>
      <c r="AV18" s="1331"/>
      <c r="AW18" s="1331"/>
      <c r="AX18" s="1331"/>
      <c r="AY18" s="1331"/>
      <c r="AZ18" s="1331"/>
      <c r="BA18" s="1331"/>
      <c r="BB18" s="1331"/>
      <c r="BC18" s="1331"/>
      <c r="BE18" s="507"/>
      <c r="BF18" s="507" t="str">
        <f>IF(T18="","",T18)</f>
        <v>Добавить территорию для дифференциации</v>
      </c>
      <c r="BG18" s="507"/>
      <c r="BH18" s="507"/>
      <c r="BI18" s="518">
        <v>0</v>
      </c>
    </row>
    <row customHeight="1" ht="14.25" hidden="1">
      <c r="AC19" s="334"/>
      <c r="BA19" s="334"/>
      <c r="BI19" s="1162">
        <v>0</v>
      </c>
    </row>
    <row customHeight="1" ht="14.25" hidden="1">
      <c r="AD20" s="1331" t="s">
        <v>19</v>
      </c>
      <c r="AE20" s="1508"/>
      <c r="AF20" s="555">
        <v>1</v>
      </c>
      <c r="AG20" s="1509"/>
      <c r="AH20" s="1331" t="s">
        <v>19</v>
      </c>
      <c r="AI20" s="1508"/>
      <c r="AJ20" s="555">
        <v>1</v>
      </c>
      <c r="AK20" s="1509"/>
      <c r="AL20" s="1331" t="s">
        <v>19</v>
      </c>
      <c r="AM20" s="1510"/>
      <c r="AN20" s="555">
        <v>1</v>
      </c>
      <c r="AO20" s="1511"/>
      <c r="AP20" s="1331" t="s">
        <v>19</v>
      </c>
      <c r="AQ20" s="1510"/>
      <c r="AR20" s="555">
        <v>1</v>
      </c>
      <c r="AS20" s="1511"/>
      <c r="AT20" s="332"/>
      <c r="AU20" s="391"/>
      <c r="AV20" s="332"/>
      <c r="AW20" s="391"/>
      <c r="AX20" s="1743"/>
      <c r="AY20" s="1492" t="s">
        <v>66</v>
      </c>
      <c r="AZ20" s="1743"/>
      <c r="BA20" s="1492" t="s">
        <v>66</v>
      </c>
      <c r="BI20" s="1162">
        <v>0</v>
      </c>
    </row>
    <row customHeight="1" ht="14.25" hidden="1">
      <c r="BD21" s="503"/>
      <c r="BE21" s="503"/>
      <c r="BF21" s="503"/>
      <c r="BG21" s="503"/>
      <c r="BH21" s="503"/>
      <c r="BI21" s="1162">
        <v>0</v>
      </c>
    </row>
    <row customHeight="1" ht="14.25" hidden="1">
      <c r="O22" s="1374" t="s">
        <v>578</v>
      </c>
      <c r="Z22" s="1352"/>
      <c r="AB22" s="1352"/>
      <c r="AC22" s="334"/>
      <c r="AX22" s="1352"/>
      <c r="AZ22" s="1352"/>
      <c r="BA22" s="334"/>
      <c r="BD22" s="503"/>
      <c r="BE22" s="503"/>
      <c r="BF22" s="503"/>
      <c r="BG22" s="503"/>
      <c r="BH22" s="503"/>
      <c r="BI22" s="1162">
        <v>0</v>
      </c>
    </row>
    <row customHeight="1" ht="14.25" hidden="1">
      <c r="AC23" s="334"/>
      <c r="BA23" s="334"/>
      <c r="BD23" s="503"/>
      <c r="BE23" s="503"/>
      <c r="BF23" s="503"/>
      <c r="BG23" s="503"/>
      <c r="BH23" s="503"/>
      <c r="BI23" s="1162">
        <v>0</v>
      </c>
    </row>
    <row s="1516" customFormat="1" customHeight="1" ht="14.25" hidden="1">
      <c r="M24" s="1515"/>
      <c r="N24" s="1515"/>
      <c r="O24" s="1516" t="s">
        <v>579</v>
      </c>
      <c r="P24" s="1515"/>
      <c r="Q24" s="1517"/>
      <c r="R24" s="1517"/>
      <c r="AA24" s="1514" t="s">
        <v>581</v>
      </c>
      <c r="AC24" s="1514" t="s">
        <v>582</v>
      </c>
      <c r="AD24" s="1514" t="s">
        <v>629</v>
      </c>
      <c r="AH24" s="1514" t="s">
        <v>629</v>
      </c>
      <c r="AK24" s="1514" t="s">
        <v>668</v>
      </c>
      <c r="AL24" s="1514" t="s">
        <v>629</v>
      </c>
      <c r="AP24" s="1514" t="s">
        <v>629</v>
      </c>
      <c r="AY24" s="1514" t="s">
        <v>581</v>
      </c>
      <c r="BA24" s="1514" t="s">
        <v>582</v>
      </c>
      <c r="BD24" s="1518"/>
      <c r="BE24" s="1518"/>
      <c r="BF24" s="1518"/>
      <c r="BG24" s="1518"/>
      <c r="BH24" s="1518"/>
      <c r="BI24" s="1514">
        <v>0</v>
      </c>
    </row>
    <row customHeight="1" ht="14.25" hidden="1">
      <c r="O25" s="1371"/>
      <c r="BD25" s="503"/>
      <c r="BE25" s="503"/>
      <c r="BF25" s="503"/>
      <c r="BG25" s="503"/>
      <c r="BH25" s="503"/>
      <c r="BI25" s="1162">
        <v>0</v>
      </c>
    </row>
    <row customHeight="1" ht="14.25" hidden="1">
      <c r="O26" s="1371"/>
      <c r="BD26" s="503"/>
      <c r="BE26" s="503"/>
      <c r="BF26" s="503"/>
      <c r="BG26" s="503"/>
      <c r="BH26" s="503"/>
      <c r="BI26" s="1162">
        <v>0</v>
      </c>
    </row>
    <row customHeight="1" ht="14.699999999999998">
      <c r="Q27" s="298"/>
      <c r="R27" s="383"/>
      <c r="S27" s="1282"/>
      <c r="T27" s="370"/>
      <c r="U27" s="370"/>
      <c r="V27" s="516"/>
      <c r="W27" s="516"/>
      <c r="X27" s="516"/>
      <c r="Y27" s="516"/>
      <c r="Z27" s="516"/>
      <c r="AA27" s="516"/>
      <c r="AB27" s="516"/>
      <c r="AC27" s="516"/>
      <c r="AD27" s="516"/>
      <c r="AE27" s="516"/>
      <c r="AF27" s="516"/>
      <c r="AG27" s="516"/>
      <c r="AH27" s="516"/>
      <c r="AI27" s="516"/>
      <c r="AJ27" s="516"/>
      <c r="AK27" s="516"/>
      <c r="AL27" s="516"/>
      <c r="AM27" s="516"/>
      <c r="AN27" s="516"/>
      <c r="AO27" s="516"/>
      <c r="AP27" s="516"/>
      <c r="AQ27" s="516"/>
      <c r="AR27" s="516"/>
      <c r="AS27" s="516"/>
      <c r="AT27" s="516"/>
      <c r="AU27" s="516"/>
      <c r="AV27" s="516"/>
      <c r="AW27" s="516"/>
      <c r="AX27" s="516"/>
      <c r="AY27" s="516"/>
      <c r="AZ27" s="516"/>
      <c r="BA27" s="516"/>
      <c r="BI27" s="1162">
        <v>14</v>
      </c>
    </row>
    <row customHeight="1" ht="14.699999999999998">
      <c r="Q28" s="298"/>
      <c r="R28" s="383"/>
      <c r="S28" s="2255"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5"/>
      <c r="U28" s="2255"/>
      <c r="V28" s="2255"/>
      <c r="W28" s="2255"/>
      <c r="X28" s="2255"/>
      <c r="Y28" s="2255"/>
      <c r="Z28" s="2255"/>
      <c r="AA28" s="2255"/>
      <c r="AB28" s="2255"/>
      <c r="AC28" s="2255"/>
      <c r="AD28" s="2255"/>
      <c r="AE28" s="2255"/>
      <c r="AF28" s="2255"/>
      <c r="AG28" s="2255"/>
      <c r="AH28" s="2255"/>
      <c r="AI28" s="2255"/>
      <c r="AJ28" s="2255"/>
      <c r="AK28" s="2255"/>
      <c r="AL28" s="2255"/>
      <c r="AM28" s="2255"/>
      <c r="AN28" s="2255"/>
      <c r="AO28" s="2255"/>
      <c r="AP28" s="2255"/>
      <c r="AQ28" s="2255"/>
      <c r="AR28" s="2255"/>
      <c r="AS28" s="2255"/>
      <c r="AT28" s="2255"/>
      <c r="AU28" s="2255"/>
      <c r="AV28" s="2255"/>
      <c r="AW28" s="2255"/>
      <c r="AX28" s="2255"/>
      <c r="AY28" s="2255"/>
      <c r="AZ28" s="2255"/>
      <c r="BA28" s="1250"/>
      <c r="BI28" s="1162">
        <v>14</v>
      </c>
    </row>
    <row customHeight="1" ht="14.699999999999998">
      <c r="Q29" s="298"/>
      <c r="R29" s="383"/>
      <c r="S29" s="2256" t="str">
        <f>IF(org=0,"Не определено",org)</f>
        <v>ГУП "Белоблводоканал"</v>
      </c>
      <c r="T29" s="2256"/>
      <c r="U29" s="2256"/>
      <c r="V29" s="2256"/>
      <c r="W29" s="2256"/>
      <c r="X29" s="2256"/>
      <c r="Y29" s="2256"/>
      <c r="Z29" s="2256"/>
      <c r="AA29" s="2256"/>
      <c r="AB29" s="2256"/>
      <c r="AC29" s="2256"/>
      <c r="AD29" s="2256"/>
      <c r="AE29" s="2256"/>
      <c r="AF29" s="2256"/>
      <c r="AG29" s="2256"/>
      <c r="AH29" s="2256"/>
      <c r="AI29" s="2256"/>
      <c r="AJ29" s="2256"/>
      <c r="AK29" s="2256"/>
      <c r="AL29" s="2256"/>
      <c r="AM29" s="2256"/>
      <c r="AN29" s="2256"/>
      <c r="AO29" s="2256"/>
      <c r="AP29" s="2256"/>
      <c r="AQ29" s="2256"/>
      <c r="AR29" s="2256"/>
      <c r="AS29" s="2256"/>
      <c r="AT29" s="2256"/>
      <c r="AU29" s="2256"/>
      <c r="AV29" s="2256"/>
      <c r="AW29" s="2256"/>
      <c r="AX29" s="2256"/>
      <c r="AY29" s="2256"/>
      <c r="AZ29" s="2256"/>
      <c r="BA29" s="1250"/>
      <c r="BI29" s="1162">
        <v>14</v>
      </c>
    </row>
    <row customHeight="1" ht="14.25" hidden="1">
      <c r="Q30" s="298"/>
      <c r="R30" s="383"/>
      <c r="S30" s="1282"/>
      <c r="T30" s="370"/>
      <c r="U30" s="370"/>
      <c r="V30" s="329"/>
      <c r="W30" s="329"/>
      <c r="X30" s="329"/>
      <c r="Y30" s="329"/>
      <c r="Z30" s="329"/>
      <c r="AA30" s="329"/>
      <c r="AB30" s="329"/>
      <c r="AC30" s="329"/>
      <c r="AD30" s="329"/>
      <c r="AE30" s="329"/>
      <c r="AF30" s="329"/>
      <c r="AG30" s="329"/>
      <c r="AH30" s="329"/>
      <c r="AI30" s="329"/>
      <c r="AJ30" s="329"/>
      <c r="AK30" s="329"/>
      <c r="AL30" s="329"/>
      <c r="AM30" s="329"/>
      <c r="AN30" s="329"/>
      <c r="AO30" s="329"/>
      <c r="AP30" s="329"/>
      <c r="AQ30" s="329"/>
      <c r="AR30" s="329"/>
      <c r="AS30" s="329"/>
      <c r="AT30" s="329"/>
      <c r="AU30" s="329"/>
      <c r="AV30" s="329"/>
      <c r="AW30" s="329"/>
      <c r="AX30" s="329"/>
      <c r="AY30" s="329"/>
      <c r="AZ30" s="329"/>
      <c r="BA30" s="329"/>
      <c r="BB30" s="516"/>
      <c r="BI30" s="1162">
        <v>0</v>
      </c>
    </row>
    <row s="1860" customFormat="1" customHeight="1" ht="25.5" hidden="1">
      <c r="A31" s="1375"/>
      <c r="B31" s="1375"/>
      <c r="C31" s="1375"/>
      <c r="D31" s="1375"/>
      <c r="E31" s="1375"/>
      <c r="F31" s="1375"/>
      <c r="G31" s="1375"/>
      <c r="H31" s="1375"/>
      <c r="I31" s="1375"/>
      <c r="J31" s="1375"/>
      <c r="K31" s="1375"/>
      <c r="L31" s="1376"/>
      <c r="M31" s="1375"/>
      <c r="N31" s="1375"/>
      <c r="O31" s="1375"/>
      <c r="P31" s="1375"/>
      <c r="Q31" s="1375"/>
      <c r="S31" s="2257" t="s">
        <v>42</v>
      </c>
      <c r="T31" s="2257"/>
      <c r="U31" s="1379"/>
      <c r="V31" s="2258" t="str">
        <f>IF(TITLE_NAME_OR_PR_CHANGE="",IF(TITLE_NAME_OR_PR="","",TITLE_NAME_OR_PR),TITLE_NAME_OR_PR_CHANGE)</f>
        <v/>
      </c>
      <c r="W31" s="2258"/>
      <c r="X31" s="2258"/>
      <c r="Y31" s="2258"/>
      <c r="Z31" s="2258"/>
      <c r="AA31" s="2258"/>
      <c r="AB31" s="2258"/>
      <c r="AC31" s="333"/>
      <c r="AD31" s="2258" t="str">
        <f>IF(TITLE_NAME_OR_PR_CHANGE="",IF(TITLE_NAME_OR_PR="","",TITLE_NAME_OR_PR),TITLE_NAME_OR_PR_CHANGE)</f>
        <v/>
      </c>
      <c r="AE31" s="2258"/>
      <c r="AF31" s="2258"/>
      <c r="AG31" s="2258"/>
      <c r="AH31" s="2258"/>
      <c r="AI31" s="2258"/>
      <c r="AJ31" s="2258"/>
      <c r="AK31" s="2258"/>
      <c r="AL31" s="2258"/>
      <c r="AM31" s="2258"/>
      <c r="AN31" s="2258"/>
      <c r="AO31" s="2258"/>
      <c r="AP31" s="2258"/>
      <c r="AQ31" s="2258"/>
      <c r="AR31" s="2258"/>
      <c r="AS31" s="2258"/>
      <c r="AT31" s="2258"/>
      <c r="AU31" s="2258"/>
      <c r="AV31" s="2258"/>
      <c r="AW31" s="2258"/>
      <c r="AX31" s="2258"/>
      <c r="AY31" s="2258"/>
      <c r="AZ31" s="2258"/>
      <c r="BA31" s="333"/>
      <c r="BB31" s="333"/>
      <c r="BC31" s="287"/>
      <c r="BD31" s="375"/>
      <c r="BE31" s="375"/>
      <c r="BF31" s="375"/>
      <c r="BG31" s="375"/>
      <c r="BH31" s="375"/>
      <c r="BI31" s="425">
        <v>0</v>
      </c>
    </row>
    <row s="1860" customFormat="1" customHeight="1" ht="18.75" hidden="1">
      <c r="A32" s="1375"/>
      <c r="B32" s="1375"/>
      <c r="C32" s="1375"/>
      <c r="D32" s="1375"/>
      <c r="E32" s="1375"/>
      <c r="F32" s="1375"/>
      <c r="G32" s="1375"/>
      <c r="H32" s="1375"/>
      <c r="I32" s="1375"/>
      <c r="J32" s="1375"/>
      <c r="K32" s="1375"/>
      <c r="L32" s="1376"/>
      <c r="M32" s="1375"/>
      <c r="N32" s="1375"/>
      <c r="O32" s="1375"/>
      <c r="P32" s="1375"/>
      <c r="Q32" s="1375"/>
      <c r="S32" s="2257" t="s">
        <v>584</v>
      </c>
      <c r="T32" s="2257"/>
      <c r="U32" s="1379"/>
      <c r="V32" s="2271" t="str">
        <f>IF(TITLE_DATE_PR_CHANGE="",IF(TITLE_DATE_PR="","",TITLE_DATE_PR),TITLE_DATE_PR_CHANGE)</f>
        <v>45432</v>
      </c>
      <c r="W32" s="2271"/>
      <c r="X32" s="2271"/>
      <c r="Y32" s="2271"/>
      <c r="Z32" s="2271"/>
      <c r="AA32" s="2271"/>
      <c r="AB32" s="2271"/>
      <c r="AC32" s="333"/>
      <c r="AD32" s="2271" t="str">
        <f>IF(TITLE_DATE_PR_CHANGE="",IF(TITLE_DATE_PR="","",TITLE_DATE_PR),TITLE_DATE_PR_CHANGE)</f>
        <v>45432</v>
      </c>
      <c r="AE32" s="2271"/>
      <c r="AF32" s="2271"/>
      <c r="AG32" s="2271"/>
      <c r="AH32" s="2271"/>
      <c r="AI32" s="2271"/>
      <c r="AJ32" s="2271"/>
      <c r="AK32" s="2271"/>
      <c r="AL32" s="2271"/>
      <c r="AM32" s="2271"/>
      <c r="AN32" s="2271"/>
      <c r="AO32" s="2271"/>
      <c r="AP32" s="2271"/>
      <c r="AQ32" s="2271"/>
      <c r="AR32" s="2271"/>
      <c r="AS32" s="2271"/>
      <c r="AT32" s="2271"/>
      <c r="AU32" s="2271"/>
      <c r="AV32" s="2271"/>
      <c r="AW32" s="2271"/>
      <c r="AX32" s="2271"/>
      <c r="AY32" s="2271"/>
      <c r="AZ32" s="2271"/>
      <c r="BA32" s="333"/>
      <c r="BB32" s="333"/>
      <c r="BC32" s="287"/>
      <c r="BD32" s="375"/>
      <c r="BE32" s="375"/>
      <c r="BF32" s="375"/>
      <c r="BG32" s="375"/>
      <c r="BH32" s="375"/>
      <c r="BI32" s="425">
        <v>0</v>
      </c>
    </row>
    <row s="1860" customFormat="1" customHeight="1" ht="18.75" hidden="1">
      <c r="A33" s="1375"/>
      <c r="B33" s="1375"/>
      <c r="C33" s="1375"/>
      <c r="D33" s="1375"/>
      <c r="E33" s="1375"/>
      <c r="F33" s="1375"/>
      <c r="G33" s="1375"/>
      <c r="H33" s="1375"/>
      <c r="I33" s="1375"/>
      <c r="J33" s="1375"/>
      <c r="K33" s="1375"/>
      <c r="L33" s="1376"/>
      <c r="M33" s="1375"/>
      <c r="N33" s="1375"/>
      <c r="O33" s="1375"/>
      <c r="P33" s="1375"/>
      <c r="Q33" s="1375"/>
      <c r="S33" s="2257" t="s">
        <v>585</v>
      </c>
      <c r="T33" s="2257"/>
      <c r="U33" s="1379"/>
      <c r="V33" s="2258" t="str">
        <f>IF(TITLE_NUMBER_PR_CHANGE="",IF(TITLE_NUMBER_PR="","",TITLE_NUMBER_PR),TITLE_NUMBER_PR_CHANGE)</f>
        <v>29-12/1427</v>
      </c>
      <c r="W33" s="2258"/>
      <c r="X33" s="2258"/>
      <c r="Y33" s="2258"/>
      <c r="Z33" s="2258"/>
      <c r="AA33" s="2258"/>
      <c r="AB33" s="2258"/>
      <c r="AC33" s="333"/>
      <c r="AD33" s="2258" t="str">
        <f>IF(TITLE_NUMBER_PR_CHANGE="",IF(TITLE_NUMBER_PR="","",TITLE_NUMBER_PR),TITLE_NUMBER_PR_CHANGE)</f>
        <v>29-12/1427</v>
      </c>
      <c r="AE33" s="2258"/>
      <c r="AF33" s="2258"/>
      <c r="AG33" s="2258"/>
      <c r="AH33" s="2258"/>
      <c r="AI33" s="2258"/>
      <c r="AJ33" s="2258"/>
      <c r="AK33" s="2258"/>
      <c r="AL33" s="2258"/>
      <c r="AM33" s="2258"/>
      <c r="AN33" s="2258"/>
      <c r="AO33" s="2258"/>
      <c r="AP33" s="2258"/>
      <c r="AQ33" s="2258"/>
      <c r="AR33" s="2258"/>
      <c r="AS33" s="2258"/>
      <c r="AT33" s="2258"/>
      <c r="AU33" s="2258"/>
      <c r="AV33" s="2258"/>
      <c r="AW33" s="2258"/>
      <c r="AX33" s="2258"/>
      <c r="AY33" s="2258"/>
      <c r="AZ33" s="2258"/>
      <c r="BA33" s="333"/>
      <c r="BB33" s="333"/>
      <c r="BC33" s="287"/>
      <c r="BD33" s="375"/>
      <c r="BE33" s="375"/>
      <c r="BF33" s="375"/>
      <c r="BG33" s="375"/>
      <c r="BH33" s="375"/>
      <c r="BI33" s="425">
        <v>0</v>
      </c>
    </row>
    <row s="1860" customFormat="1" customHeight="1" ht="18.75" hidden="1">
      <c r="A34" s="1375"/>
      <c r="B34" s="1375"/>
      <c r="C34" s="1375"/>
      <c r="D34" s="1375"/>
      <c r="E34" s="1375"/>
      <c r="F34" s="1375"/>
      <c r="G34" s="1375"/>
      <c r="H34" s="1375"/>
      <c r="I34" s="1375"/>
      <c r="J34" s="1375"/>
      <c r="K34" s="1375"/>
      <c r="L34" s="1376"/>
      <c r="M34" s="1375"/>
      <c r="N34" s="1375"/>
      <c r="O34" s="1375"/>
      <c r="P34" s="1375"/>
      <c r="Q34" s="1375"/>
      <c r="S34" s="2257" t="s">
        <v>43</v>
      </c>
      <c r="T34" s="2257"/>
      <c r="U34" s="1379"/>
      <c r="V34" s="2258" t="str">
        <f>IF(TITLE_IST_PUB_CHANGE="",IF(TITLE_IST_PUB="","",TITLE_IST_PUB),TITLE_IST_PUB_CHANGE)</f>
        <v/>
      </c>
      <c r="W34" s="2258"/>
      <c r="X34" s="2258"/>
      <c r="Y34" s="2258"/>
      <c r="Z34" s="2258"/>
      <c r="AA34" s="2258"/>
      <c r="AB34" s="2258"/>
      <c r="AC34" s="333"/>
      <c r="AD34" s="2258" t="str">
        <f>IF(TITLE_IST_PUB_CHANGE="",IF(TITLE_IST_PUB="","",TITLE_IST_PUB),TITLE_IST_PUB_CHANGE)</f>
        <v/>
      </c>
      <c r="AE34" s="2258"/>
      <c r="AF34" s="2258"/>
      <c r="AG34" s="2258"/>
      <c r="AH34" s="2258"/>
      <c r="AI34" s="2258"/>
      <c r="AJ34" s="2258"/>
      <c r="AK34" s="2258"/>
      <c r="AL34" s="2258"/>
      <c r="AM34" s="2258"/>
      <c r="AN34" s="2258"/>
      <c r="AO34" s="2258"/>
      <c r="AP34" s="2258"/>
      <c r="AQ34" s="2258"/>
      <c r="AR34" s="2258"/>
      <c r="AS34" s="2258"/>
      <c r="AT34" s="2258"/>
      <c r="AU34" s="2258"/>
      <c r="AV34" s="2258"/>
      <c r="AW34" s="2258"/>
      <c r="AX34" s="2258"/>
      <c r="AY34" s="2258"/>
      <c r="AZ34" s="2258"/>
      <c r="BA34" s="333"/>
      <c r="BB34" s="333"/>
      <c r="BC34" s="287"/>
      <c r="BD34" s="375"/>
      <c r="BE34" s="375"/>
      <c r="BF34" s="375"/>
      <c r="BG34" s="375"/>
      <c r="BH34" s="375"/>
      <c r="BI34" s="425">
        <v>0</v>
      </c>
    </row>
    <row customHeight="1" ht="14.25">
      <c r="Q35" s="298"/>
      <c r="R35" s="383"/>
      <c r="S35" s="1282"/>
      <c r="T35" s="370"/>
      <c r="U35" s="370"/>
      <c r="V35" s="329"/>
      <c r="W35" s="329"/>
      <c r="X35" s="329"/>
      <c r="Y35" s="329"/>
      <c r="Z35" s="329"/>
      <c r="AA35" s="329"/>
      <c r="AB35" s="329"/>
      <c r="AC35" s="329"/>
      <c r="AD35" s="329"/>
      <c r="AE35" s="329"/>
      <c r="AF35" s="329"/>
      <c r="AG35" s="329"/>
      <c r="AH35" s="329"/>
      <c r="AI35" s="329"/>
      <c r="AJ35" s="329"/>
      <c r="AK35" s="329"/>
      <c r="AL35" s="329"/>
      <c r="AM35" s="329"/>
      <c r="AN35" s="329"/>
      <c r="AO35" s="329"/>
      <c r="AP35" s="329"/>
      <c r="AQ35" s="329"/>
      <c r="AR35" s="329"/>
      <c r="AS35" s="329"/>
      <c r="AT35" s="329"/>
      <c r="AU35" s="329"/>
      <c r="AV35" s="329"/>
      <c r="AW35" s="329"/>
      <c r="AX35" s="329"/>
      <c r="AY35" s="329"/>
      <c r="AZ35" s="329"/>
      <c r="BA35" s="329"/>
      <c r="BB35" s="516"/>
      <c r="BI35" s="1162">
        <v>0</v>
      </c>
    </row>
    <row s="1860" customFormat="1" customHeight="1" ht="18.75">
      <c r="A36" s="1375"/>
      <c r="B36" s="1375"/>
      <c r="C36" s="1375"/>
      <c r="D36" s="1375"/>
      <c r="E36" s="1375"/>
      <c r="F36" s="1375"/>
      <c r="G36" s="1375"/>
      <c r="H36" s="1375"/>
      <c r="I36" s="1375"/>
      <c r="J36" s="1375"/>
      <c r="K36" s="1375"/>
      <c r="L36" s="1376"/>
      <c r="M36" s="1375"/>
      <c r="N36" s="1375"/>
      <c r="O36" s="1375"/>
      <c r="P36" s="1375"/>
      <c r="Q36" s="1375"/>
      <c r="S36" s="2257" t="s">
        <v>584</v>
      </c>
      <c r="T36" s="2257"/>
      <c r="U36" s="1379"/>
      <c r="V36" s="2271" t="str">
        <f>IF(TITLE_DATE_PR_CHANGE="",IF(TITLE_DATE_PR="","",TITLE_DATE_PR),TITLE_DATE_PR_CHANGE)</f>
        <v>45432</v>
      </c>
      <c r="W36" s="2271"/>
      <c r="X36" s="2271"/>
      <c r="Y36" s="2271"/>
      <c r="Z36" s="2271"/>
      <c r="AA36" s="2271"/>
      <c r="AB36" s="2271"/>
      <c r="AC36" s="333"/>
      <c r="AD36" s="2271" t="str">
        <f>IF(TITLE_DATE_PR_CHANGE="",IF(TITLE_DATE_PR="","",TITLE_DATE_PR),TITLE_DATE_PR_CHANGE)</f>
        <v>45432</v>
      </c>
      <c r="AE36" s="2271"/>
      <c r="AF36" s="2271"/>
      <c r="AG36" s="2271"/>
      <c r="AH36" s="2271"/>
      <c r="AI36" s="2271"/>
      <c r="AJ36" s="2271"/>
      <c r="AK36" s="2271"/>
      <c r="AL36" s="2271"/>
      <c r="AM36" s="2271"/>
      <c r="AN36" s="2271"/>
      <c r="AO36" s="2271"/>
      <c r="AP36" s="2271"/>
      <c r="AQ36" s="2271"/>
      <c r="AR36" s="2271"/>
      <c r="AS36" s="2271"/>
      <c r="AT36" s="2271"/>
      <c r="AU36" s="2271"/>
      <c r="AV36" s="2271"/>
      <c r="AW36" s="2271"/>
      <c r="AX36" s="2271"/>
      <c r="AY36" s="2271"/>
      <c r="AZ36" s="2271"/>
      <c r="BA36" s="333"/>
      <c r="BB36" s="333"/>
      <c r="BC36" s="287"/>
      <c r="BD36" s="375"/>
      <c r="BE36" s="375"/>
      <c r="BF36" s="375"/>
      <c r="BG36" s="375"/>
      <c r="BH36" s="375"/>
      <c r="BI36" s="425">
        <v>0</v>
      </c>
    </row>
    <row s="1860" customFormat="1" customHeight="1" ht="18.75">
      <c r="A37" s="1375"/>
      <c r="B37" s="1375"/>
      <c r="C37" s="1375"/>
      <c r="D37" s="1375"/>
      <c r="E37" s="1375"/>
      <c r="F37" s="1375"/>
      <c r="G37" s="1375"/>
      <c r="H37" s="1375"/>
      <c r="I37" s="1375"/>
      <c r="J37" s="1375"/>
      <c r="K37" s="1375"/>
      <c r="L37" s="1376"/>
      <c r="M37" s="1375"/>
      <c r="N37" s="1375"/>
      <c r="O37" s="1375"/>
      <c r="P37" s="1375"/>
      <c r="Q37" s="1375"/>
      <c r="S37" s="2257" t="s">
        <v>585</v>
      </c>
      <c r="T37" s="2257"/>
      <c r="U37" s="1379"/>
      <c r="V37" s="2258" t="str">
        <f>IF(TITLE_NUMBER_PR_CHANGE="",IF(TITLE_NUMBER_PR="","",TITLE_NUMBER_PR),TITLE_NUMBER_PR_CHANGE)</f>
        <v>29-12/1427</v>
      </c>
      <c r="W37" s="2258"/>
      <c r="X37" s="2258"/>
      <c r="Y37" s="2258"/>
      <c r="Z37" s="2258"/>
      <c r="AA37" s="2258"/>
      <c r="AB37" s="2258"/>
      <c r="AC37" s="333"/>
      <c r="AD37" s="2258" t="str">
        <f>IF(TITLE_NUMBER_PR_CHANGE="",IF(TITLE_NUMBER_PR="","",TITLE_NUMBER_PR),TITLE_NUMBER_PR_CHANGE)</f>
        <v>29-12/1427</v>
      </c>
      <c r="AE37" s="2258"/>
      <c r="AF37" s="2258"/>
      <c r="AG37" s="2258"/>
      <c r="AH37" s="2258"/>
      <c r="AI37" s="2258"/>
      <c r="AJ37" s="2258"/>
      <c r="AK37" s="2258"/>
      <c r="AL37" s="2258"/>
      <c r="AM37" s="2258"/>
      <c r="AN37" s="2258"/>
      <c r="AO37" s="2258"/>
      <c r="AP37" s="2258"/>
      <c r="AQ37" s="2258"/>
      <c r="AR37" s="2258"/>
      <c r="AS37" s="2258"/>
      <c r="AT37" s="2258"/>
      <c r="AU37" s="2258"/>
      <c r="AV37" s="2258"/>
      <c r="AW37" s="2258"/>
      <c r="AX37" s="2258"/>
      <c r="AY37" s="2258"/>
      <c r="AZ37" s="2258"/>
      <c r="BA37" s="333"/>
      <c r="BB37" s="333"/>
      <c r="BC37" s="287"/>
      <c r="BD37" s="375"/>
      <c r="BE37" s="375"/>
      <c r="BF37" s="375"/>
      <c r="BG37" s="375"/>
      <c r="BH37" s="375"/>
      <c r="BI37" s="425">
        <v>0</v>
      </c>
    </row>
    <row s="1860" customFormat="1" customHeight="1" ht="0">
      <c r="A38" s="1375"/>
      <c r="B38" s="1375"/>
      <c r="C38" s="1375"/>
      <c r="D38" s="1375"/>
      <c r="E38" s="1375"/>
      <c r="F38" s="1375"/>
      <c r="G38" s="1375"/>
      <c r="H38" s="1375"/>
      <c r="I38" s="1375"/>
      <c r="J38" s="1375"/>
      <c r="K38" s="1375"/>
      <c r="L38" s="1376"/>
      <c r="M38" s="1375"/>
      <c r="N38" s="1375"/>
      <c r="O38" s="1375"/>
      <c r="P38" s="1375"/>
      <c r="Q38" s="1375"/>
      <c r="S38" s="330"/>
      <c r="T38" s="330"/>
      <c r="U38" s="1495"/>
      <c r="V38" s="333"/>
      <c r="W38" s="333"/>
      <c r="X38" s="333"/>
      <c r="Y38" s="333"/>
      <c r="Z38" s="333"/>
      <c r="AA38" s="333"/>
      <c r="AB38" s="333"/>
      <c r="AC38" s="285" t="s">
        <v>588</v>
      </c>
      <c r="AD38" s="333"/>
      <c r="AE38" s="333"/>
      <c r="AF38" s="333"/>
      <c r="AG38" s="333"/>
      <c r="AH38" s="333"/>
      <c r="AI38" s="333"/>
      <c r="AJ38" s="333"/>
      <c r="AK38" s="333"/>
      <c r="AL38" s="333"/>
      <c r="AM38" s="333"/>
      <c r="AN38" s="333"/>
      <c r="AO38" s="333"/>
      <c r="AP38" s="333"/>
      <c r="AQ38" s="333"/>
      <c r="AR38" s="333"/>
      <c r="AS38" s="333"/>
      <c r="AT38" s="333"/>
      <c r="AU38" s="333"/>
      <c r="AV38" s="333"/>
      <c r="AW38" s="333"/>
      <c r="AX38" s="333"/>
      <c r="AY38" s="333"/>
      <c r="AZ38" s="333"/>
      <c r="BA38" s="285" t="s">
        <v>588</v>
      </c>
      <c r="BD38" s="375"/>
      <c r="BE38" s="375"/>
      <c r="BF38" s="375"/>
      <c r="BG38" s="375"/>
      <c r="BH38" s="375"/>
      <c r="BI38" s="425">
        <v>0</v>
      </c>
    </row>
    <row customHeight="1" ht="14.699999999999998">
      <c r="Q39" s="298"/>
      <c r="R39" s="383"/>
      <c r="S39" s="1282"/>
      <c r="T39" s="370"/>
      <c r="U39" s="1251"/>
      <c r="V39" s="2259"/>
      <c r="W39" s="2259"/>
      <c r="X39" s="2259"/>
      <c r="Y39" s="2259"/>
      <c r="Z39" s="2259"/>
      <c r="AA39" s="2259"/>
      <c r="AB39" s="2259"/>
      <c r="AC39" s="2259"/>
      <c r="AD39" s="2259"/>
      <c r="AE39" s="2259"/>
      <c r="AF39" s="2259"/>
      <c r="AG39" s="2259"/>
      <c r="AH39" s="2259"/>
      <c r="AI39" s="2259"/>
      <c r="AJ39" s="2259"/>
      <c r="AK39" s="2259"/>
      <c r="AL39" s="2259"/>
      <c r="AM39" s="2259"/>
      <c r="AN39" s="2259"/>
      <c r="AO39" s="2259"/>
      <c r="AP39" s="2259"/>
      <c r="AQ39" s="2259"/>
      <c r="AR39" s="2259"/>
      <c r="AS39" s="2259"/>
      <c r="AT39" s="2259"/>
      <c r="AU39" s="2259"/>
      <c r="AV39" s="2259"/>
      <c r="AW39" s="2259"/>
      <c r="AX39" s="2259"/>
      <c r="AY39" s="2259"/>
      <c r="AZ39" s="2259"/>
      <c r="BA39" s="2259"/>
      <c r="BI39" s="1162">
        <v>14</v>
      </c>
    </row>
    <row customHeight="1" ht="14.699999999999998">
      <c r="Q40" s="298"/>
      <c r="R40" s="383"/>
      <c r="S40" s="2134" t="s">
        <v>463</v>
      </c>
      <c r="T40" s="2134"/>
      <c r="U40" s="2134"/>
      <c r="V40" s="2134"/>
      <c r="W40" s="2134"/>
      <c r="X40" s="2134"/>
      <c r="Y40" s="2134"/>
      <c r="Z40" s="2134"/>
      <c r="AA40" s="2134"/>
      <c r="AB40" s="2134"/>
      <c r="AC40" s="2134"/>
      <c r="AD40" s="2134"/>
      <c r="AE40" s="2134"/>
      <c r="AF40" s="2134"/>
      <c r="AG40" s="2134"/>
      <c r="AH40" s="2134"/>
      <c r="AI40" s="2134"/>
      <c r="AJ40" s="2134"/>
      <c r="AK40" s="2134"/>
      <c r="AL40" s="2134"/>
      <c r="AM40" s="2134"/>
      <c r="AN40" s="2134"/>
      <c r="AO40" s="2134"/>
      <c r="AP40" s="2134"/>
      <c r="AQ40" s="2134"/>
      <c r="AR40" s="2134"/>
      <c r="AS40" s="2134"/>
      <c r="AT40" s="2134"/>
      <c r="AU40" s="2134"/>
      <c r="AV40" s="2134"/>
      <c r="AW40" s="2134"/>
      <c r="AX40" s="2134"/>
      <c r="AY40" s="2134"/>
      <c r="AZ40" s="2134"/>
      <c r="BA40" s="2134"/>
      <c r="BB40" s="2134"/>
      <c r="BC40" s="2134" t="s">
        <v>464</v>
      </c>
      <c r="BI40" s="1162">
        <v>14</v>
      </c>
    </row>
    <row customHeight="1" ht="14.699999999999998">
      <c r="Q41" s="298"/>
      <c r="R41" s="383"/>
      <c r="S41" s="2280" t="s">
        <v>88</v>
      </c>
      <c r="T41" s="2216" t="s">
        <v>669</v>
      </c>
      <c r="U41" s="308"/>
      <c r="V41" s="2281" t="s">
        <v>590</v>
      </c>
      <c r="W41" s="2282"/>
      <c r="X41" s="2282"/>
      <c r="Y41" s="2282"/>
      <c r="Z41" s="2282"/>
      <c r="AA41" s="2282"/>
      <c r="AB41" s="2283"/>
      <c r="AC41" s="2284" t="s">
        <v>591</v>
      </c>
      <c r="AD41" s="2335" t="s">
        <v>686</v>
      </c>
      <c r="AE41" s="2298"/>
      <c r="AF41" s="2298"/>
      <c r="AG41" s="2336"/>
      <c r="AH41" s="2335" t="s">
        <v>687</v>
      </c>
      <c r="AI41" s="2298"/>
      <c r="AJ41" s="2298"/>
      <c r="AK41" s="2336"/>
      <c r="AL41" s="2335" t="s">
        <v>688</v>
      </c>
      <c r="AM41" s="2298"/>
      <c r="AN41" s="2298"/>
      <c r="AO41" s="2336"/>
      <c r="AP41" s="2335" t="s">
        <v>673</v>
      </c>
      <c r="AQ41" s="2298"/>
      <c r="AR41" s="2298"/>
      <c r="AS41" s="2336"/>
      <c r="AT41" s="2281" t="s">
        <v>590</v>
      </c>
      <c r="AU41" s="2282"/>
      <c r="AV41" s="2282"/>
      <c r="AW41" s="2282"/>
      <c r="AX41" s="2282"/>
      <c r="AY41" s="2282"/>
      <c r="AZ41" s="2283"/>
      <c r="BA41" s="2284" t="s">
        <v>591</v>
      </c>
      <c r="BB41" s="2287" t="s">
        <v>593</v>
      </c>
      <c r="BC41" s="2134"/>
      <c r="BI41" s="1162">
        <v>14</v>
      </c>
    </row>
    <row customHeight="1" ht="35.699999999999996">
      <c r="Q42" s="298"/>
      <c r="R42" s="383"/>
      <c r="S42" s="2280"/>
      <c r="T42" s="2216"/>
      <c r="U42" s="1038"/>
      <c r="V42" s="2199" t="s">
        <v>674</v>
      </c>
      <c r="W42" s="2200"/>
      <c r="X42" s="2199" t="s">
        <v>675</v>
      </c>
      <c r="Y42" s="2200"/>
      <c r="Z42" s="2301" t="s">
        <v>676</v>
      </c>
      <c r="AA42" s="2320"/>
      <c r="AB42" s="2321"/>
      <c r="AC42" s="2285"/>
      <c r="AD42" s="2337"/>
      <c r="AE42" s="2338"/>
      <c r="AF42" s="2338"/>
      <c r="AG42" s="2339"/>
      <c r="AH42" s="2337"/>
      <c r="AI42" s="2338"/>
      <c r="AJ42" s="2338"/>
      <c r="AK42" s="2339"/>
      <c r="AL42" s="2337"/>
      <c r="AM42" s="2338"/>
      <c r="AN42" s="2338"/>
      <c r="AO42" s="2339"/>
      <c r="AP42" s="2337"/>
      <c r="AQ42" s="2338"/>
      <c r="AR42" s="2338"/>
      <c r="AS42" s="2339"/>
      <c r="AT42" s="2199" t="s">
        <v>689</v>
      </c>
      <c r="AU42" s="2200"/>
      <c r="AV42" s="2199" t="s">
        <v>690</v>
      </c>
      <c r="AW42" s="2200"/>
      <c r="AX42" s="2301" t="s">
        <v>676</v>
      </c>
      <c r="AY42" s="2320"/>
      <c r="AZ42" s="2321"/>
      <c r="BA42" s="2285"/>
      <c r="BB42" s="2288"/>
      <c r="BC42" s="2134"/>
      <c r="BI42" s="1162">
        <v>34</v>
      </c>
    </row>
    <row customHeight="1" ht="14.699999999999998">
      <c r="Q43" s="298"/>
      <c r="R43" s="383"/>
      <c r="S43" s="2280"/>
      <c r="T43" s="2216"/>
      <c r="U43" s="1038"/>
      <c r="V43" s="2207"/>
      <c r="W43" s="2208"/>
      <c r="X43" s="2207"/>
      <c r="Y43" s="2208"/>
      <c r="Z43" s="2302"/>
      <c r="AA43" s="2322"/>
      <c r="AB43" s="2323"/>
      <c r="AC43" s="2285"/>
      <c r="AD43" s="2337"/>
      <c r="AE43" s="2338"/>
      <c r="AF43" s="2338"/>
      <c r="AG43" s="2339"/>
      <c r="AH43" s="2337"/>
      <c r="AI43" s="2338"/>
      <c r="AJ43" s="2338"/>
      <c r="AK43" s="2339"/>
      <c r="AL43" s="2337"/>
      <c r="AM43" s="2338"/>
      <c r="AN43" s="2338"/>
      <c r="AO43" s="2339"/>
      <c r="AP43" s="2337"/>
      <c r="AQ43" s="2338"/>
      <c r="AR43" s="2338"/>
      <c r="AS43" s="2339"/>
      <c r="AT43" s="2207"/>
      <c r="AU43" s="2208"/>
      <c r="AV43" s="2207"/>
      <c r="AW43" s="2208"/>
      <c r="AX43" s="2302"/>
      <c r="AY43" s="2322"/>
      <c r="AZ43" s="2323"/>
      <c r="BA43" s="2285"/>
      <c r="BB43" s="2288"/>
      <c r="BC43" s="2134"/>
      <c r="BI43" s="1162">
        <v>14</v>
      </c>
    </row>
    <row customHeight="1" ht="14.699999999999998">
      <c r="A44" s="1377"/>
      <c r="B44" s="1377" t="s">
        <v>227</v>
      </c>
      <c r="C44" s="1377" t="s">
        <v>228</v>
      </c>
      <c r="D44" s="1377" t="s">
        <v>229</v>
      </c>
      <c r="E44" s="1371" t="s">
        <v>598</v>
      </c>
      <c r="F44" s="1371" t="s">
        <v>599</v>
      </c>
      <c r="G44" s="1371" t="s">
        <v>600</v>
      </c>
      <c r="H44" s="1371" t="s">
        <v>601</v>
      </c>
      <c r="I44" s="1371" t="s">
        <v>602</v>
      </c>
      <c r="J44" s="1371" t="s">
        <v>603</v>
      </c>
      <c r="K44" s="1371" t="s">
        <v>604</v>
      </c>
      <c r="L44" s="1371" t="s">
        <v>579</v>
      </c>
      <c r="Q44" s="298"/>
      <c r="R44" s="383"/>
      <c r="S44" s="2280"/>
      <c r="T44" s="2216"/>
      <c r="U44" s="309"/>
      <c r="V44" s="1486" t="s">
        <v>638</v>
      </c>
      <c r="W44" s="1486" t="s">
        <v>639</v>
      </c>
      <c r="X44" s="1486" t="s">
        <v>638</v>
      </c>
      <c r="Y44" s="1486" t="s">
        <v>639</v>
      </c>
      <c r="Z44" s="1496" t="s">
        <v>607</v>
      </c>
      <c r="AA44" s="2277" t="s">
        <v>608</v>
      </c>
      <c r="AB44" s="2278"/>
      <c r="AC44" s="2286"/>
      <c r="AD44" s="2340"/>
      <c r="AE44" s="2341"/>
      <c r="AF44" s="2341"/>
      <c r="AG44" s="2342"/>
      <c r="AH44" s="2340"/>
      <c r="AI44" s="2341"/>
      <c r="AJ44" s="2341"/>
      <c r="AK44" s="2342"/>
      <c r="AL44" s="2340"/>
      <c r="AM44" s="2341"/>
      <c r="AN44" s="2341"/>
      <c r="AO44" s="2342"/>
      <c r="AP44" s="2340"/>
      <c r="AQ44" s="2341"/>
      <c r="AR44" s="2341"/>
      <c r="AS44" s="2342"/>
      <c r="AT44" s="1486" t="s">
        <v>638</v>
      </c>
      <c r="AU44" s="1486" t="s">
        <v>639</v>
      </c>
      <c r="AV44" s="1486" t="s">
        <v>638</v>
      </c>
      <c r="AW44" s="1486" t="s">
        <v>639</v>
      </c>
      <c r="AX44" s="1496" t="s">
        <v>607</v>
      </c>
      <c r="AY44" s="2277" t="s">
        <v>608</v>
      </c>
      <c r="AZ44" s="2278"/>
      <c r="BA44" s="2286"/>
      <c r="BB44" s="2289"/>
      <c r="BC44" s="2134"/>
      <c r="BI44" s="1162">
        <v>14</v>
      </c>
    </row>
    <row s="1648" customFormat="1" customHeight="1" ht="11.25" hidden="1">
      <c r="A45" s="1377"/>
      <c r="B45" s="1377"/>
      <c r="C45" s="1377"/>
      <c r="D45" s="1377"/>
      <c r="E45" s="1377"/>
      <c r="F45" s="1377"/>
      <c r="G45" s="1377"/>
      <c r="H45" s="1377"/>
      <c r="I45" s="1377"/>
      <c r="J45" s="1377"/>
      <c r="K45" s="1377"/>
      <c r="L45" s="1371"/>
      <c r="M45" s="1369"/>
      <c r="N45" s="1369"/>
      <c r="O45" s="1369"/>
      <c r="P45" s="517"/>
      <c r="Q45" s="1261"/>
      <c r="R45" s="1261">
        <v>1</v>
      </c>
      <c r="S45" s="1284" t="s">
        <v>108</v>
      </c>
      <c r="T45" s="1262" t="s">
        <v>99</v>
      </c>
      <c r="U45" s="1252" t="str">
        <f>OFFSET(U45,0,-1)</f>
        <v>2</v>
      </c>
      <c r="V45" s="1489">
        <f>OFFSET(V45,0,-1)+1</f>
        <v>3</v>
      </c>
      <c r="W45" s="1489">
        <f>OFFSET(W45,0,-1)+1</f>
        <v>4</v>
      </c>
      <c r="X45" s="1489">
        <f>OFFSET(X45,0,-1)+1</f>
        <v>5</v>
      </c>
      <c r="Y45" s="1489">
        <f>OFFSET(Y45,0,-1)+1</f>
        <v>6</v>
      </c>
      <c r="Z45" s="1489">
        <f>OFFSET(Z45,0,-1)+1</f>
        <v>7</v>
      </c>
      <c r="AA45" s="2279">
        <f>OFFSET(AA45,0,-1)+1</f>
        <v>8</v>
      </c>
      <c r="AB45" s="2279"/>
      <c r="AC45" s="1489">
        <f>OFFSET(AC45,0,-2)+1</f>
        <v>9</v>
      </c>
      <c r="AD45" s="1489">
        <f>OFFSET(AD45,0,-1)+1</f>
        <v>10</v>
      </c>
      <c r="AE45" s="1489"/>
      <c r="AF45" s="1489"/>
      <c r="AG45" s="1489"/>
      <c r="AH45" s="1489"/>
      <c r="AI45" s="1489"/>
      <c r="AJ45" s="1489"/>
      <c r="AK45" s="1489"/>
      <c r="AL45" s="1489"/>
      <c r="AM45" s="1489"/>
      <c r="AN45" s="1489"/>
      <c r="AO45" s="1489"/>
      <c r="AP45" s="1489"/>
      <c r="AQ45" s="1489"/>
      <c r="AR45" s="1489"/>
      <c r="AS45" s="1489"/>
      <c r="AT45" s="1489"/>
      <c r="AU45" s="1489"/>
      <c r="AV45" s="1489"/>
      <c r="AW45" s="1489">
        <f>OFFSET(AW45,0,-1)+1</f>
        <v>1</v>
      </c>
      <c r="AX45" s="1489">
        <f>OFFSET(AX45,0,-1)+1</f>
        <v>2</v>
      </c>
      <c r="AY45" s="2279">
        <f>OFFSET(AY45,0,-1)+1</f>
        <v>3</v>
      </c>
      <c r="AZ45" s="2279"/>
      <c r="BA45" s="1489">
        <f>OFFSET(BA45,0,-2)+1</f>
        <v>4</v>
      </c>
      <c r="BB45" s="1252">
        <f>OFFSET(BB45,0,-1)</f>
        <v>4</v>
      </c>
      <c r="BC45" s="1489">
        <f>OFFSET(BC45,0,-1)+1</f>
        <v>5</v>
      </c>
      <c r="BD45" s="518"/>
      <c r="BE45" s="518"/>
      <c r="BF45" s="518"/>
      <c r="BG45" s="518"/>
      <c r="BH45" s="518"/>
      <c r="BI45" s="503">
        <v>0</v>
      </c>
    </row>
    <row customHeight="1" ht="22.049999999999997">
      <c r="A46" s="1370" t="s">
        <v>439</v>
      </c>
      <c r="B46" s="1370"/>
      <c r="C46" s="1370"/>
      <c r="D46" s="1370"/>
      <c r="E46" s="2265">
        <v>1</v>
      </c>
      <c r="F46" s="1370"/>
      <c r="G46" s="1370"/>
      <c r="H46" s="1370"/>
      <c r="I46" s="1370"/>
      <c r="J46" s="1370"/>
      <c r="K46" s="1370"/>
      <c r="L46" s="1371"/>
      <c r="M46" s="1372"/>
      <c r="N46" s="1372"/>
      <c r="O46" s="1372"/>
      <c r="P46" s="1416"/>
      <c r="Q46" s="880"/>
      <c r="R46" s="362"/>
      <c r="S46" s="1500">
        <f>INDEX(PT_DIFFERENTIATION_NUM_NTAR,MATCH(A46,PT_DIFFERENTIATION_NTAR_ID,0))</f>
        <v>0</v>
      </c>
      <c r="T46" s="305" t="s">
        <v>215</v>
      </c>
      <c r="U46" s="307"/>
      <c r="V46" s="2250"/>
      <c r="W46" s="2250"/>
      <c r="X46" s="2250"/>
      <c r="Y46" s="2250"/>
      <c r="Z46" s="2250"/>
      <c r="AA46" s="2250"/>
      <c r="AB46" s="2250"/>
      <c r="AC46" s="2251"/>
      <c r="AD46" s="2249" t="str">
        <f>INDEX(PT_DIFFERENTIATION_NTAR,MATCH(A46,PT_DIFFERENTIATION_NTAR_ID,0))</f>
        <v/>
      </c>
      <c r="AE46" s="2250"/>
      <c r="AF46" s="2250"/>
      <c r="AG46" s="2250"/>
      <c r="AH46" s="2250"/>
      <c r="AI46" s="2250"/>
      <c r="AJ46" s="2250"/>
      <c r="AK46" s="2250"/>
      <c r="AL46" s="2250"/>
      <c r="AM46" s="2250"/>
      <c r="AN46" s="2250"/>
      <c r="AO46" s="2250"/>
      <c r="AP46" s="2250"/>
      <c r="AQ46" s="2250"/>
      <c r="AR46" s="2250"/>
      <c r="AS46" s="2250"/>
      <c r="AT46" s="2250"/>
      <c r="AU46" s="2250"/>
      <c r="AV46" s="2250"/>
      <c r="AW46" s="2250"/>
      <c r="AX46" s="2250"/>
      <c r="AY46" s="2250"/>
      <c r="AZ46" s="2250"/>
      <c r="BA46" s="2250"/>
      <c r="BB46" s="2251"/>
      <c r="BC46"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7"/>
      <c r="BF46" s="507" t="str">
        <f>IF(T46="","",T46)</f>
        <v>Наименование тарифа</v>
      </c>
      <c r="BG46" s="507"/>
      <c r="BH46" s="507"/>
      <c r="BI46" s="1162">
        <v>21</v>
      </c>
    </row>
    <row customHeight="1" ht="22.049999999999997">
      <c r="A47" s="1370" t="s">
        <v>439</v>
      </c>
      <c r="B47" s="1370" t="s">
        <v>440</v>
      </c>
      <c r="C47" s="1370"/>
      <c r="D47" s="1370"/>
      <c r="E47" s="2266"/>
      <c r="F47" s="2265">
        <v>1</v>
      </c>
      <c r="G47" s="1370"/>
      <c r="H47" s="1370"/>
      <c r="I47" s="1370"/>
      <c r="J47" s="1370"/>
      <c r="K47" s="1370"/>
      <c r="L47" s="1371"/>
      <c r="M47" s="1372"/>
      <c r="N47" s="1372"/>
      <c r="O47" s="1372"/>
      <c r="P47" s="1417"/>
      <c r="Q47" s="1418"/>
      <c r="R47" s="360"/>
      <c r="S47" s="1500" t="str">
        <f>INDEX(PT_DIFFERENTIATION_NUM_TER,MATCH(B47,PT_DIFFERENTIATION_TER_ID,0))</f>
        <v>.</v>
      </c>
      <c r="T47" s="315" t="s">
        <v>560</v>
      </c>
      <c r="U47" s="307"/>
      <c r="V47" s="2250"/>
      <c r="W47" s="2250"/>
      <c r="X47" s="2250"/>
      <c r="Y47" s="2250"/>
      <c r="Z47" s="2250"/>
      <c r="AA47" s="2250"/>
      <c r="AB47" s="2250"/>
      <c r="AC47" s="2251"/>
      <c r="AD47" s="2249" t="str">
        <f>INDEX(PT_DIFFERENTIATION_TER,MATCH(B47,PT_DIFFERENTIATION_TER_ID,0))</f>
        <v/>
      </c>
      <c r="AE47" s="2250"/>
      <c r="AF47" s="2250"/>
      <c r="AG47" s="2250"/>
      <c r="AH47" s="2250"/>
      <c r="AI47" s="2250"/>
      <c r="AJ47" s="2250"/>
      <c r="AK47" s="2250"/>
      <c r="AL47" s="2250"/>
      <c r="AM47" s="2250"/>
      <c r="AN47" s="2250"/>
      <c r="AO47" s="2250"/>
      <c r="AP47" s="2250"/>
      <c r="AQ47" s="2250"/>
      <c r="AR47" s="2250"/>
      <c r="AS47" s="2250"/>
      <c r="AT47" s="2250"/>
      <c r="AU47" s="2250"/>
      <c r="AV47" s="2250"/>
      <c r="AW47" s="2250"/>
      <c r="AX47" s="2250"/>
      <c r="AY47" s="2250"/>
      <c r="AZ47" s="2250"/>
      <c r="BA47" s="2250"/>
      <c r="BB47" s="2251"/>
      <c r="BC47" s="1265" t="s">
        <v>561</v>
      </c>
      <c r="BE47" s="507"/>
      <c r="BF47" s="507" t="str">
        <f>IF(T47="","",T47)</f>
        <v>Территория действия тарифа</v>
      </c>
      <c r="BG47" s="507"/>
      <c r="BH47" s="507"/>
      <c r="BI47" s="1162">
        <v>21</v>
      </c>
    </row>
    <row customHeight="1" ht="35.699999999999996">
      <c r="A48" s="1370" t="s">
        <v>439</v>
      </c>
      <c r="B48" s="1370" t="s">
        <v>440</v>
      </c>
      <c r="C48" s="1370" t="s">
        <v>441</v>
      </c>
      <c r="D48" s="1370"/>
      <c r="E48" s="2266"/>
      <c r="F48" s="2266"/>
      <c r="G48" s="2265">
        <v>1</v>
      </c>
      <c r="H48" s="1370"/>
      <c r="I48" s="1370"/>
      <c r="J48" s="1370"/>
      <c r="K48" s="1370"/>
      <c r="L48" s="1371"/>
      <c r="M48" s="1372"/>
      <c r="N48" s="1372"/>
      <c r="O48" s="1372"/>
      <c r="P48" s="1419"/>
      <c r="Q48" s="1418"/>
      <c r="R48" s="360"/>
      <c r="S48" s="1500" t="str">
        <f>INDEX(PT_DIFFERENTIATION_NUM_CS,MATCH(C48,PT_DIFFERENTIATION_CS_ID,0))</f>
        <v>..</v>
      </c>
      <c r="T48" s="316" t="s">
        <v>678</v>
      </c>
      <c r="U48" s="307"/>
      <c r="V48" s="2250"/>
      <c r="W48" s="2250"/>
      <c r="X48" s="2250"/>
      <c r="Y48" s="2250"/>
      <c r="Z48" s="2250"/>
      <c r="AA48" s="2250"/>
      <c r="AB48" s="2250"/>
      <c r="AC48" s="2251"/>
      <c r="AD48" s="2249" t="str">
        <f>INDEX(PT_DIFFERENTIATION_CS,MATCH(C48,PT_DIFFERENTIATION_CS_ID,0))</f>
        <v/>
      </c>
      <c r="AE48" s="2250"/>
      <c r="AF48" s="2250"/>
      <c r="AG48" s="2250"/>
      <c r="AH48" s="2250"/>
      <c r="AI48" s="2250"/>
      <c r="AJ48" s="2250"/>
      <c r="AK48" s="2250"/>
      <c r="AL48" s="2250"/>
      <c r="AM48" s="2250"/>
      <c r="AN48" s="2250"/>
      <c r="AO48" s="2250"/>
      <c r="AP48" s="2250"/>
      <c r="AQ48" s="2250"/>
      <c r="AR48" s="2250"/>
      <c r="AS48" s="2250"/>
      <c r="AT48" s="2250"/>
      <c r="AU48" s="2250"/>
      <c r="AV48" s="2250"/>
      <c r="AW48" s="2250"/>
      <c r="AX48" s="2250"/>
      <c r="AY48" s="2250"/>
      <c r="AZ48" s="2250"/>
      <c r="BA48" s="2250"/>
      <c r="BB48" s="2251"/>
      <c r="BC48" s="1265" t="s">
        <v>679</v>
      </c>
      <c r="BE48" s="507"/>
      <c r="BF48" s="507" t="str">
        <f>IF(T48="","",T48)</f>
        <v>Наименование централизованной системы водоотведения</v>
      </c>
      <c r="BG48" s="507"/>
      <c r="BH48" s="507"/>
      <c r="BI48" s="1162">
        <v>34</v>
      </c>
    </row>
    <row s="1649" customFormat="1" customHeight="1" ht="0">
      <c r="A49" s="1350" t="s">
        <v>439</v>
      </c>
      <c r="B49" s="1350" t="s">
        <v>440</v>
      </c>
      <c r="C49" s="1350" t="s">
        <v>441</v>
      </c>
      <c r="D49" s="1350" t="s">
        <v>691</v>
      </c>
      <c r="E49" s="2266"/>
      <c r="F49" s="2266"/>
      <c r="G49" s="2266"/>
      <c r="H49" s="2265">
        <v>1</v>
      </c>
      <c r="I49" s="1350"/>
      <c r="J49" s="1350"/>
      <c r="K49" s="1350"/>
      <c r="L49" s="1353"/>
      <c r="M49" s="1322"/>
      <c r="N49" s="1322"/>
      <c r="O49" s="1322"/>
      <c r="P49" s="1504"/>
      <c r="Q49" s="1505"/>
      <c r="R49" s="364"/>
      <c r="S49" s="1049"/>
      <c r="T49" s="1506"/>
      <c r="U49" s="1391"/>
      <c r="V49" s="2304"/>
      <c r="W49" s="2304"/>
      <c r="X49" s="2304"/>
      <c r="Y49" s="2304"/>
      <c r="Z49" s="2304"/>
      <c r="AA49" s="2304"/>
      <c r="AB49" s="2304"/>
      <c r="AC49" s="2305"/>
      <c r="AD49" s="2303"/>
      <c r="AE49" s="2304"/>
      <c r="AF49" s="2304"/>
      <c r="AG49" s="2304"/>
      <c r="AH49" s="2304"/>
      <c r="AI49" s="2304"/>
      <c r="AJ49" s="2304"/>
      <c r="AK49" s="2304"/>
      <c r="AL49" s="2304"/>
      <c r="AM49" s="2304"/>
      <c r="AN49" s="2304"/>
      <c r="AO49" s="2304"/>
      <c r="AP49" s="2304"/>
      <c r="AQ49" s="2304"/>
      <c r="AR49" s="2304"/>
      <c r="AS49" s="2304"/>
      <c r="AT49" s="2304"/>
      <c r="AU49" s="2304"/>
      <c r="AV49" s="2304"/>
      <c r="AW49" s="2304"/>
      <c r="AX49" s="2304"/>
      <c r="AY49" s="2304"/>
      <c r="AZ49" s="2304"/>
      <c r="BA49" s="2304"/>
      <c r="BB49" s="2305"/>
      <c r="BC49" s="1392" t="s">
        <v>565</v>
      </c>
      <c r="BE49" s="507"/>
      <c r="BF49" s="507" t="str">
        <f>IF(T49="","",T49)</f>
        <v/>
      </c>
      <c r="BG49" s="507"/>
      <c r="BH49" s="507"/>
      <c r="BI49" s="518">
        <v>0</v>
      </c>
    </row>
    <row s="1649" customFormat="1" customHeight="1" ht="0">
      <c r="A50" s="1350" t="s">
        <v>439</v>
      </c>
      <c r="B50" s="1350" t="s">
        <v>440</v>
      </c>
      <c r="C50" s="1350" t="s">
        <v>441</v>
      </c>
      <c r="D50" s="1350" t="s">
        <v>691</v>
      </c>
      <c r="E50" s="2266"/>
      <c r="F50" s="2266"/>
      <c r="G50" s="2266"/>
      <c r="H50" s="2266"/>
      <c r="I50" s="2263" t="str">
        <f>S49&amp;".1"</f>
        <v>.1</v>
      </c>
      <c r="J50" s="1350"/>
      <c r="K50" s="1350"/>
      <c r="L50" s="1353" t="s">
        <v>566</v>
      </c>
      <c r="M50" s="517"/>
      <c r="N50" s="517"/>
      <c r="O50" s="517"/>
      <c r="P50" s="2264">
        <v>1</v>
      </c>
      <c r="Q50" s="1488"/>
      <c r="R50" s="363"/>
      <c r="S50" s="1049"/>
      <c r="T50" s="1390"/>
      <c r="U50" s="1391"/>
      <c r="V50" s="2304"/>
      <c r="W50" s="2304"/>
      <c r="X50" s="2304"/>
      <c r="Y50" s="2304"/>
      <c r="Z50" s="2304"/>
      <c r="AA50" s="2304"/>
      <c r="AB50" s="2304"/>
      <c r="AC50" s="2305"/>
      <c r="AD50" s="2303"/>
      <c r="AE50" s="2304"/>
      <c r="AF50" s="2304"/>
      <c r="AG50" s="2304"/>
      <c r="AH50" s="2304"/>
      <c r="AI50" s="2304"/>
      <c r="AJ50" s="2304"/>
      <c r="AK50" s="2304"/>
      <c r="AL50" s="2304"/>
      <c r="AM50" s="2304"/>
      <c r="AN50" s="2304"/>
      <c r="AO50" s="2304"/>
      <c r="AP50" s="2304"/>
      <c r="AQ50" s="2304"/>
      <c r="AR50" s="2304"/>
      <c r="AS50" s="2304"/>
      <c r="AT50" s="2304"/>
      <c r="AU50" s="2304"/>
      <c r="AV50" s="2304"/>
      <c r="AW50" s="2304"/>
      <c r="AX50" s="2304"/>
      <c r="AY50" s="2304"/>
      <c r="AZ50" s="2304"/>
      <c r="BA50" s="2304"/>
      <c r="BB50" s="2305"/>
      <c r="BC50" s="1392"/>
      <c r="BE50" s="507"/>
      <c r="BF50" s="507" t="str">
        <f>IF(T50="","",T50)</f>
        <v/>
      </c>
      <c r="BG50" s="507"/>
      <c r="BH50" s="507"/>
      <c r="BI50" s="518">
        <v>0</v>
      </c>
    </row>
    <row s="1649" customFormat="1" customHeight="1" ht="0">
      <c r="A51" s="1350" t="s">
        <v>439</v>
      </c>
      <c r="B51" s="1350" t="s">
        <v>440</v>
      </c>
      <c r="C51" s="1350" t="s">
        <v>441</v>
      </c>
      <c r="D51" s="1350" t="s">
        <v>691</v>
      </c>
      <c r="E51" s="2266"/>
      <c r="F51" s="2266"/>
      <c r="G51" s="2266"/>
      <c r="H51" s="2266"/>
      <c r="I51" s="2293"/>
      <c r="J51" s="2263" t="str">
        <f>S49&amp;".1"</f>
        <v>.1</v>
      </c>
      <c r="K51" s="1350"/>
      <c r="L51" s="1353"/>
      <c r="M51" s="517"/>
      <c r="N51" s="517"/>
      <c r="O51" s="517"/>
      <c r="P51" s="2264"/>
      <c r="Q51" s="2264">
        <v>1</v>
      </c>
      <c r="R51" s="364"/>
      <c r="S51" s="1049"/>
      <c r="T51" s="1406"/>
      <c r="U51" s="1391"/>
      <c r="V51" s="2304"/>
      <c r="W51" s="2304"/>
      <c r="X51" s="2304"/>
      <c r="Y51" s="2304"/>
      <c r="Z51" s="2304"/>
      <c r="AA51" s="2304"/>
      <c r="AB51" s="2304"/>
      <c r="AC51" s="2305"/>
      <c r="AD51" s="2303"/>
      <c r="AE51" s="2304"/>
      <c r="AF51" s="2304"/>
      <c r="AG51" s="2304"/>
      <c r="AH51" s="2304"/>
      <c r="AI51" s="2304"/>
      <c r="AJ51" s="2304"/>
      <c r="AK51" s="2304"/>
      <c r="AL51" s="2304"/>
      <c r="AM51" s="2304"/>
      <c r="AN51" s="2371"/>
      <c r="AO51" s="2371"/>
      <c r="AP51" s="2304"/>
      <c r="AQ51" s="2304"/>
      <c r="AR51" s="2304"/>
      <c r="AS51" s="2304"/>
      <c r="AT51" s="2304"/>
      <c r="AU51" s="2304"/>
      <c r="AV51" s="2304"/>
      <c r="AW51" s="2304"/>
      <c r="AX51" s="2304"/>
      <c r="AY51" s="2304"/>
      <c r="AZ51" s="2304"/>
      <c r="BA51" s="2304"/>
      <c r="BB51" s="2305"/>
      <c r="BC51" s="1392"/>
      <c r="BE51" s="507"/>
      <c r="BF51" s="507" t="str">
        <f>IF(T51="","",T51)</f>
        <v/>
      </c>
      <c r="BG51" s="507"/>
      <c r="BH51" s="507"/>
      <c r="BI51" s="518">
        <v>0</v>
      </c>
    </row>
    <row customHeight="1" ht="11.549999999999999">
      <c r="A52" s="1370" t="s">
        <v>439</v>
      </c>
      <c r="B52" s="1370" t="s">
        <v>440</v>
      </c>
      <c r="C52" s="1370" t="s">
        <v>441</v>
      </c>
      <c r="D52" s="1370" t="s">
        <v>691</v>
      </c>
      <c r="E52" s="2266"/>
      <c r="F52" s="2266"/>
      <c r="G52" s="2266"/>
      <c r="H52" s="2266"/>
      <c r="I52" s="2293"/>
      <c r="J52" s="2293"/>
      <c r="K52" s="2263" t="str">
        <f>S48&amp;".1"</f>
        <v>...1</v>
      </c>
      <c r="L52" s="1371"/>
      <c r="P52" s="2264"/>
      <c r="Q52" s="2264"/>
      <c r="R52" s="364">
        <v>1</v>
      </c>
      <c r="S52" s="2348" t="str">
        <f>$K52</f>
        <v>...1</v>
      </c>
      <c r="T52" s="2367"/>
      <c r="U52" s="307"/>
      <c r="V52" s="758"/>
      <c r="W52" s="1264"/>
      <c r="X52" s="758"/>
      <c r="Y52" s="1264"/>
      <c r="Z52" s="1741"/>
      <c r="AA52" s="1476" t="s">
        <v>66</v>
      </c>
      <c r="AB52" s="1741"/>
      <c r="AC52" s="1476" t="s">
        <v>66</v>
      </c>
      <c r="AD52" s="2192" t="s">
        <v>66</v>
      </c>
      <c r="AE52" s="2333"/>
      <c r="AF52" s="2212">
        <v>1</v>
      </c>
      <c r="AG52" s="2370"/>
      <c r="AH52" s="2114" t="s">
        <v>66</v>
      </c>
      <c r="AI52" s="2333"/>
      <c r="AJ52" s="2212">
        <v>1</v>
      </c>
      <c r="AK52" s="2334" t="s">
        <v>28</v>
      </c>
      <c r="AL52" s="2114" t="s">
        <v>66</v>
      </c>
      <c r="AM52" s="2199"/>
      <c r="AN52" s="2212">
        <v>1</v>
      </c>
      <c r="AO52" s="2364"/>
      <c r="AP52" s="2365" t="s">
        <v>66</v>
      </c>
      <c r="AQ52" s="318"/>
      <c r="AR52" s="1493">
        <v>1</v>
      </c>
      <c r="AS52" s="1499" t="s">
        <v>28</v>
      </c>
      <c r="AT52" s="758"/>
      <c r="AU52" s="1264"/>
      <c r="AV52" s="758"/>
      <c r="AW52" s="1264"/>
      <c r="AX52" s="1741"/>
      <c r="AY52" s="1476" t="s">
        <v>66</v>
      </c>
      <c r="AZ52" s="1741"/>
      <c r="BA52" s="1476" t="s">
        <v>66</v>
      </c>
      <c r="BB52" s="1355"/>
      <c r="BC52" s="2260" t="s">
        <v>663</v>
      </c>
      <c r="BE52" s="507"/>
      <c r="BF52" s="507" t="str">
        <f>IF(T52="","",T52)</f>
        <v/>
      </c>
      <c r="BG52" s="507"/>
      <c r="BH52" s="507"/>
      <c r="BI52" s="1162">
        <v>11</v>
      </c>
    </row>
    <row customHeight="1" ht="11.549999999999999">
      <c r="A53" s="1370"/>
      <c r="B53" s="1370"/>
      <c r="C53" s="1370"/>
      <c r="D53" s="1370"/>
      <c r="E53" s="2266"/>
      <c r="F53" s="2266"/>
      <c r="G53" s="2266"/>
      <c r="H53" s="2266"/>
      <c r="I53" s="2293"/>
      <c r="J53" s="2293"/>
      <c r="K53" s="2263"/>
      <c r="L53" s="1371"/>
      <c r="P53" s="2264"/>
      <c r="Q53" s="2264"/>
      <c r="R53" s="364"/>
      <c r="S53" s="2349"/>
      <c r="T53" s="2368"/>
      <c r="U53" s="307"/>
      <c r="V53" s="1400"/>
      <c r="W53" s="1503"/>
      <c r="X53" s="1400"/>
      <c r="Y53" s="1503"/>
      <c r="Z53" s="1400"/>
      <c r="AA53" s="1400"/>
      <c r="AB53" s="1400"/>
      <c r="AC53" s="1400"/>
      <c r="AD53" s="2193"/>
      <c r="AE53" s="2333"/>
      <c r="AF53" s="2212"/>
      <c r="AG53" s="2370"/>
      <c r="AH53" s="2114"/>
      <c r="AI53" s="2333"/>
      <c r="AJ53" s="2212"/>
      <c r="AK53" s="2334"/>
      <c r="AL53" s="2114"/>
      <c r="AM53" s="2207"/>
      <c r="AN53" s="2212"/>
      <c r="AO53" s="2364"/>
      <c r="AP53" s="2366"/>
      <c r="AQ53" s="323"/>
      <c r="AR53" s="423"/>
      <c r="AS53" s="423" t="s">
        <v>664</v>
      </c>
      <c r="AT53" s="1400"/>
      <c r="AU53" s="1503"/>
      <c r="AV53" s="1400"/>
      <c r="AW53" s="1503"/>
      <c r="AX53" s="1400"/>
      <c r="AY53" s="1400"/>
      <c r="AZ53" s="1400"/>
      <c r="BA53" s="1400"/>
      <c r="BB53" s="1404"/>
      <c r="BC53" s="2261"/>
      <c r="BE53" s="507"/>
      <c r="BF53" s="507"/>
      <c r="BG53" s="507"/>
      <c r="BH53" s="507"/>
      <c r="BI53" s="1162">
        <v>11</v>
      </c>
    </row>
    <row customHeight="1" ht="11.549999999999999">
      <c r="A54" s="1370" t="s">
        <v>439</v>
      </c>
      <c r="B54" s="1370"/>
      <c r="C54" s="1370"/>
      <c r="D54" s="1370"/>
      <c r="E54" s="2266"/>
      <c r="F54" s="2266"/>
      <c r="G54" s="2266"/>
      <c r="H54" s="2266"/>
      <c r="I54" s="2293"/>
      <c r="J54" s="2293"/>
      <c r="K54" s="2263"/>
      <c r="L54" s="1371"/>
      <c r="P54" s="2264"/>
      <c r="Q54" s="2264"/>
      <c r="R54" s="364"/>
      <c r="S54" s="2349"/>
      <c r="T54" s="2368"/>
      <c r="U54" s="307"/>
      <c r="V54" s="1400"/>
      <c r="W54" s="1503"/>
      <c r="X54" s="1400"/>
      <c r="Y54" s="1503"/>
      <c r="Z54" s="1400"/>
      <c r="AA54" s="1400"/>
      <c r="AB54" s="1400"/>
      <c r="AC54" s="1400"/>
      <c r="AD54" s="2193"/>
      <c r="AE54" s="2333"/>
      <c r="AF54" s="2212"/>
      <c r="AG54" s="2370"/>
      <c r="AH54" s="2114"/>
      <c r="AI54" s="2333"/>
      <c r="AJ54" s="2212"/>
      <c r="AK54" s="2334"/>
      <c r="AL54" s="2114"/>
      <c r="AM54" s="323"/>
      <c r="AN54" s="1507"/>
      <c r="AO54" s="1507" t="s">
        <v>684</v>
      </c>
      <c r="AP54" s="423"/>
      <c r="AQ54" s="423"/>
      <c r="AR54" s="423"/>
      <c r="AS54" s="1400"/>
      <c r="AT54" s="1400"/>
      <c r="AU54" s="1503"/>
      <c r="AV54" s="1400"/>
      <c r="AW54" s="1503"/>
      <c r="AX54" s="1400"/>
      <c r="AY54" s="1400"/>
      <c r="AZ54" s="1400"/>
      <c r="BA54" s="1400"/>
      <c r="BB54" s="1404"/>
      <c r="BC54" s="2261"/>
      <c r="BE54" s="507"/>
      <c r="BF54" s="507"/>
      <c r="BG54" s="507"/>
      <c r="BH54" s="507"/>
      <c r="BI54" s="1162">
        <v>11</v>
      </c>
    </row>
    <row customHeight="1" ht="11.549999999999999">
      <c r="A55" s="1370" t="s">
        <v>439</v>
      </c>
      <c r="B55" s="1370"/>
      <c r="C55" s="1370"/>
      <c r="D55" s="1370"/>
      <c r="E55" s="2266"/>
      <c r="F55" s="2266"/>
      <c r="G55" s="2266"/>
      <c r="H55" s="2266"/>
      <c r="I55" s="2293"/>
      <c r="J55" s="2293"/>
      <c r="K55" s="2263"/>
      <c r="L55" s="1371"/>
      <c r="P55" s="2264"/>
      <c r="Q55" s="2264"/>
      <c r="R55" s="364"/>
      <c r="S55" s="2349"/>
      <c r="T55" s="2368"/>
      <c r="U55" s="307"/>
      <c r="V55" s="1400"/>
      <c r="W55" s="1503"/>
      <c r="X55" s="1400"/>
      <c r="Y55" s="1503"/>
      <c r="Z55" s="1400"/>
      <c r="AA55" s="1400"/>
      <c r="AB55" s="1400"/>
      <c r="AC55" s="1400"/>
      <c r="AD55" s="2193"/>
      <c r="AE55" s="2333"/>
      <c r="AF55" s="2212"/>
      <c r="AG55" s="2370"/>
      <c r="AH55" s="2114"/>
      <c r="AI55" s="301"/>
      <c r="AJ55" s="422"/>
      <c r="AK55" s="320" t="s">
        <v>685</v>
      </c>
      <c r="AL55" s="1400"/>
      <c r="AM55" s="1400"/>
      <c r="AN55" s="1400"/>
      <c r="AO55" s="1400"/>
      <c r="AP55" s="1400"/>
      <c r="AQ55" s="1400"/>
      <c r="AR55" s="1400"/>
      <c r="AS55" s="1400"/>
      <c r="AT55" s="1400"/>
      <c r="AU55" s="1503"/>
      <c r="AV55" s="1400"/>
      <c r="AW55" s="1503"/>
      <c r="AX55" s="1400"/>
      <c r="AY55" s="1400"/>
      <c r="AZ55" s="1400"/>
      <c r="BA55" s="1400"/>
      <c r="BB55" s="1404"/>
      <c r="BC55" s="2261"/>
      <c r="BE55" s="507"/>
      <c r="BF55" s="507"/>
      <c r="BG55" s="507"/>
      <c r="BH55" s="507"/>
      <c r="BI55" s="1162">
        <v>11</v>
      </c>
    </row>
    <row customHeight="1" ht="11.549999999999999">
      <c r="A56" s="1370" t="s">
        <v>439</v>
      </c>
      <c r="B56" s="1370" t="s">
        <v>440</v>
      </c>
      <c r="C56" s="1370" t="s">
        <v>441</v>
      </c>
      <c r="D56" s="1370" t="s">
        <v>691</v>
      </c>
      <c r="E56" s="2266"/>
      <c r="F56" s="2266"/>
      <c r="G56" s="2266"/>
      <c r="H56" s="2266"/>
      <c r="I56" s="2293"/>
      <c r="J56" s="2293"/>
      <c r="K56" s="2263"/>
      <c r="L56" s="1371"/>
      <c r="P56" s="2264"/>
      <c r="Q56" s="2264"/>
      <c r="R56" s="364"/>
      <c r="S56" s="2350"/>
      <c r="T56" s="2369"/>
      <c r="U56" s="307"/>
      <c r="V56" s="1400"/>
      <c r="W56" s="1401" t="str">
        <f>Z52&amp;"-"&amp;AB52</f>
        <v>-</v>
      </c>
      <c r="X56" s="1400"/>
      <c r="Y56" s="1401" t="str">
        <f>AB52&amp;"-"&amp;AD52</f>
        <v>-да</v>
      </c>
      <c r="Z56" s="1400"/>
      <c r="AA56" s="1400"/>
      <c r="AB56" s="1400"/>
      <c r="AC56" s="1400"/>
      <c r="AD56" s="2119"/>
      <c r="AE56" s="319"/>
      <c r="AF56" s="321"/>
      <c r="AG56" s="423" t="s">
        <v>667</v>
      </c>
      <c r="AH56" s="1400"/>
      <c r="AI56" s="1400"/>
      <c r="AJ56" s="1400"/>
      <c r="AK56" s="1400"/>
      <c r="AL56" s="1400"/>
      <c r="AM56" s="1400"/>
      <c r="AN56" s="1400"/>
      <c r="AO56" s="1400"/>
      <c r="AP56" s="1400"/>
      <c r="AQ56" s="1400"/>
      <c r="AR56" s="1400"/>
      <c r="AS56" s="1400"/>
      <c r="AT56" s="1400"/>
      <c r="AU56" s="1401" t="str">
        <f>AX52&amp;"-"&amp;AZ52</f>
        <v>-</v>
      </c>
      <c r="AV56" s="1400"/>
      <c r="AW56" s="1401" t="str">
        <f>AZ52&amp;"-"&amp;BB52</f>
        <v>-</v>
      </c>
      <c r="AX56" s="1400"/>
      <c r="AY56" s="1400"/>
      <c r="AZ56" s="1400"/>
      <c r="BA56" s="1400"/>
      <c r="BB56" s="1403" t="str">
        <f>BE52&amp;"-"&amp;BG52</f>
        <v>-</v>
      </c>
      <c r="BC56" s="2261"/>
      <c r="BE56" s="507"/>
      <c r="BF56" s="507" t="str">
        <f>IF(T56="","",T56)</f>
        <v/>
      </c>
      <c r="BG56" s="507"/>
      <c r="BH56" s="507"/>
      <c r="BI56" s="1162">
        <v>11</v>
      </c>
    </row>
    <row customHeight="1" ht="11.549999999999999">
      <c r="A57" s="1370" t="s">
        <v>439</v>
      </c>
      <c r="B57" s="1370" t="s">
        <v>440</v>
      </c>
      <c r="C57" s="1370" t="s">
        <v>441</v>
      </c>
      <c r="D57" s="1370" t="s">
        <v>691</v>
      </c>
      <c r="E57" s="2266"/>
      <c r="F57" s="2266"/>
      <c r="G57" s="2266"/>
      <c r="H57" s="2266"/>
      <c r="I57" s="2293"/>
      <c r="J57" s="2263"/>
      <c r="K57" s="1370"/>
      <c r="L57" s="1371"/>
      <c r="P57" s="2264"/>
      <c r="Q57" s="2264"/>
      <c r="R57" s="363"/>
      <c r="S57" s="1285"/>
      <c r="T57" s="294" t="s">
        <v>628</v>
      </c>
      <c r="U57" s="374"/>
      <c r="V57" s="374"/>
      <c r="W57" s="374"/>
      <c r="X57" s="374"/>
      <c r="Y57" s="374"/>
      <c r="Z57" s="374"/>
      <c r="AA57" s="374"/>
      <c r="AB57" s="374"/>
      <c r="AC57" s="331"/>
      <c r="AD57" s="1512"/>
      <c r="AE57" s="374"/>
      <c r="AF57" s="374"/>
      <c r="AG57" s="374"/>
      <c r="AH57" s="374"/>
      <c r="AI57" s="374"/>
      <c r="AJ57" s="374"/>
      <c r="AK57" s="374"/>
      <c r="AL57" s="374"/>
      <c r="AM57" s="374"/>
      <c r="AN57" s="374"/>
      <c r="AO57" s="374"/>
      <c r="AP57" s="374"/>
      <c r="AQ57" s="374"/>
      <c r="AR57" s="374"/>
      <c r="AS57" s="374"/>
      <c r="AT57" s="374"/>
      <c r="AU57" s="374"/>
      <c r="AV57" s="374"/>
      <c r="AW57" s="374"/>
      <c r="AX57" s="374"/>
      <c r="AY57" s="374"/>
      <c r="AZ57" s="374"/>
      <c r="BA57" s="374"/>
      <c r="BB57" s="331"/>
      <c r="BC57" s="2262"/>
      <c r="BE57" s="507"/>
      <c r="BF57" s="507" t="str">
        <f>IF(T57="","",T57)</f>
        <v>Добавить строку</v>
      </c>
      <c r="BG57" s="507"/>
      <c r="BH57" s="507"/>
      <c r="BI57" s="1162">
        <v>11</v>
      </c>
    </row>
    <row s="1649" customFormat="1" customHeight="1" ht="0">
      <c r="A58" s="1350" t="s">
        <v>439</v>
      </c>
      <c r="B58" s="1350" t="s">
        <v>440</v>
      </c>
      <c r="C58" s="1350" t="s">
        <v>441</v>
      </c>
      <c r="D58" s="1350" t="s">
        <v>691</v>
      </c>
      <c r="E58" s="2266"/>
      <c r="F58" s="2266"/>
      <c r="G58" s="2266"/>
      <c r="H58" s="2266"/>
      <c r="I58" s="2263"/>
      <c r="J58" s="1350"/>
      <c r="K58" s="1350"/>
      <c r="L58" s="1353"/>
      <c r="M58" s="517"/>
      <c r="N58" s="517"/>
      <c r="O58" s="517"/>
      <c r="P58" s="2264"/>
      <c r="Q58" s="1488"/>
      <c r="R58" s="363"/>
      <c r="S58" s="1393"/>
      <c r="T58" s="1394"/>
      <c r="U58" s="1395"/>
      <c r="V58" s="1395"/>
      <c r="W58" s="1395"/>
      <c r="X58" s="1395"/>
      <c r="Y58" s="1395"/>
      <c r="Z58" s="1395"/>
      <c r="AA58" s="1395"/>
      <c r="AB58" s="1395"/>
      <c r="AC58" s="1395"/>
      <c r="AD58" s="1395"/>
      <c r="AE58" s="1395"/>
      <c r="AF58" s="1395"/>
      <c r="AG58" s="1395"/>
      <c r="AH58" s="1395"/>
      <c r="AI58" s="1395"/>
      <c r="AJ58" s="1395"/>
      <c r="AK58" s="1395"/>
      <c r="AL58" s="1395"/>
      <c r="AM58" s="1395"/>
      <c r="AN58" s="1395"/>
      <c r="AO58" s="1395"/>
      <c r="AP58" s="1395"/>
      <c r="AQ58" s="1395"/>
      <c r="AR58" s="1395"/>
      <c r="AS58" s="1395"/>
      <c r="AT58" s="1395"/>
      <c r="AU58" s="1395"/>
      <c r="AV58" s="1395"/>
      <c r="AW58" s="1395"/>
      <c r="AX58" s="1395"/>
      <c r="AY58" s="1395"/>
      <c r="AZ58" s="1395"/>
      <c r="BA58" s="1395"/>
      <c r="BB58" s="1395"/>
      <c r="BC58" s="1396"/>
      <c r="BE58" s="507"/>
      <c r="BF58" s="507" t="str">
        <f>IF(T58="","",T58)</f>
        <v/>
      </c>
      <c r="BG58" s="507"/>
      <c r="BH58" s="507"/>
      <c r="BI58" s="518">
        <v>0</v>
      </c>
    </row>
    <row s="1649" customFormat="1" customHeight="1" ht="0">
      <c r="A59" s="1350" t="s">
        <v>439</v>
      </c>
      <c r="B59" s="1350" t="s">
        <v>440</v>
      </c>
      <c r="C59" s="1350" t="s">
        <v>441</v>
      </c>
      <c r="D59" s="1350" t="s">
        <v>691</v>
      </c>
      <c r="E59" s="2266"/>
      <c r="F59" s="2266"/>
      <c r="G59" s="2266"/>
      <c r="H59" s="2265"/>
      <c r="I59" s="1350"/>
      <c r="J59" s="1350"/>
      <c r="K59" s="1350"/>
      <c r="L59" s="1353"/>
      <c r="M59" s="1322"/>
      <c r="N59" s="1322"/>
      <c r="O59" s="525"/>
      <c r="P59" s="387"/>
      <c r="Q59" s="1351"/>
      <c r="R59" s="1408"/>
      <c r="S59" s="1393"/>
      <c r="T59" s="1394"/>
      <c r="U59" s="1395"/>
      <c r="V59" s="1395"/>
      <c r="W59" s="1395"/>
      <c r="X59" s="1395"/>
      <c r="Y59" s="1395"/>
      <c r="Z59" s="1395"/>
      <c r="AA59" s="1395"/>
      <c r="AB59" s="1395"/>
      <c r="AC59" s="1395"/>
      <c r="AD59" s="1395"/>
      <c r="AE59" s="1395"/>
      <c r="AF59" s="1395"/>
      <c r="AG59" s="1395"/>
      <c r="AH59" s="1395"/>
      <c r="AI59" s="1395"/>
      <c r="AJ59" s="1395"/>
      <c r="AK59" s="1395"/>
      <c r="AL59" s="1395"/>
      <c r="AM59" s="1395"/>
      <c r="AN59" s="1395"/>
      <c r="AO59" s="1395"/>
      <c r="AP59" s="1395"/>
      <c r="AQ59" s="1395"/>
      <c r="AR59" s="1395"/>
      <c r="AS59" s="1395"/>
      <c r="AT59" s="1395"/>
      <c r="AU59" s="1395"/>
      <c r="AV59" s="1395"/>
      <c r="AW59" s="1395"/>
      <c r="AX59" s="1395"/>
      <c r="AY59" s="1395"/>
      <c r="AZ59" s="1395"/>
      <c r="BA59" s="1395"/>
      <c r="BB59" s="1395"/>
      <c r="BC59" s="1396"/>
      <c r="BE59" s="507"/>
      <c r="BF59" s="507" t="str">
        <f>IF(T59="","",T59)</f>
        <v/>
      </c>
      <c r="BG59" s="507"/>
      <c r="BH59" s="507"/>
      <c r="BI59" s="518">
        <v>0</v>
      </c>
    </row>
    <row s="1649" customFormat="1" customHeight="1" ht="0">
      <c r="A60" s="1350" t="s">
        <v>439</v>
      </c>
      <c r="B60" s="1350" t="s">
        <v>440</v>
      </c>
      <c r="C60" s="1350" t="s">
        <v>441</v>
      </c>
      <c r="D60" s="1321"/>
      <c r="E60" s="2266"/>
      <c r="F60" s="2266"/>
      <c r="G60" s="2265"/>
      <c r="H60" s="1321"/>
      <c r="I60" s="1321"/>
      <c r="J60" s="1321"/>
      <c r="K60" s="1321"/>
      <c r="L60" s="1501"/>
      <c r="M60" s="1322"/>
      <c r="N60" s="1322"/>
      <c r="P60" s="1323"/>
      <c r="Q60" s="1324"/>
      <c r="R60" s="1323"/>
      <c r="S60" s="1329"/>
      <c r="T60" s="1332"/>
      <c r="U60" s="1331"/>
      <c r="V60" s="1331"/>
      <c r="W60" s="1331"/>
      <c r="X60" s="1331"/>
      <c r="Y60" s="1331"/>
      <c r="Z60" s="1331"/>
      <c r="AA60" s="1331"/>
      <c r="AB60" s="1331"/>
      <c r="AC60" s="1331"/>
      <c r="AD60" s="1331"/>
      <c r="AE60" s="1331"/>
      <c r="AF60" s="1331"/>
      <c r="AG60" s="1331"/>
      <c r="AH60" s="1331"/>
      <c r="AI60" s="1331"/>
      <c r="AJ60" s="1331"/>
      <c r="AK60" s="1331"/>
      <c r="AL60" s="1331"/>
      <c r="AM60" s="1331"/>
      <c r="AN60" s="1331"/>
      <c r="AO60" s="1331"/>
      <c r="AP60" s="1331"/>
      <c r="AQ60" s="1331"/>
      <c r="AR60" s="1331"/>
      <c r="AS60" s="1331"/>
      <c r="AT60" s="1331"/>
      <c r="AU60" s="1331"/>
      <c r="AV60" s="1331"/>
      <c r="AW60" s="1331"/>
      <c r="AX60" s="1331"/>
      <c r="AY60" s="1331"/>
      <c r="AZ60" s="1331"/>
      <c r="BA60" s="1331"/>
      <c r="BB60" s="1331"/>
      <c r="BC60" s="1331"/>
      <c r="BE60" s="796"/>
      <c r="BF60" s="796" t="str">
        <f>IF(T60="","",T60)</f>
        <v/>
      </c>
      <c r="BG60" s="796"/>
      <c r="BH60" s="796"/>
      <c r="BI60" s="525">
        <v>0</v>
      </c>
    </row>
    <row s="1649" customFormat="1" customHeight="1" ht="0">
      <c r="A61" s="1350" t="s">
        <v>439</v>
      </c>
      <c r="B61" s="1350" t="s">
        <v>440</v>
      </c>
      <c r="C61" s="1321"/>
      <c r="D61" s="1321"/>
      <c r="E61" s="2266"/>
      <c r="F61" s="2265"/>
      <c r="G61" s="1321"/>
      <c r="H61" s="1321"/>
      <c r="I61" s="1321"/>
      <c r="J61" s="1321"/>
      <c r="K61" s="1321"/>
      <c r="L61" s="1501"/>
      <c r="M61" s="1328"/>
      <c r="N61" s="1328"/>
      <c r="P61" s="1323"/>
      <c r="Q61" s="1324"/>
      <c r="R61" s="1323"/>
      <c r="S61" s="1329"/>
      <c r="T61" s="1332" t="s">
        <v>316</v>
      </c>
      <c r="U61" s="1331"/>
      <c r="V61" s="1331"/>
      <c r="W61" s="1331"/>
      <c r="X61" s="1331"/>
      <c r="Y61" s="1331"/>
      <c r="Z61" s="1331"/>
      <c r="AA61" s="1331"/>
      <c r="AB61" s="1331"/>
      <c r="AC61" s="1331"/>
      <c r="AD61" s="1331"/>
      <c r="AE61" s="1331"/>
      <c r="AF61" s="1331"/>
      <c r="AG61" s="1331"/>
      <c r="AH61" s="1331"/>
      <c r="AI61" s="1331"/>
      <c r="AJ61" s="1331"/>
      <c r="AK61" s="1331"/>
      <c r="AL61" s="1331"/>
      <c r="AM61" s="1331"/>
      <c r="AN61" s="1331"/>
      <c r="AO61" s="1331"/>
      <c r="AP61" s="1331"/>
      <c r="AQ61" s="1331"/>
      <c r="AR61" s="1331"/>
      <c r="AS61" s="1331"/>
      <c r="AT61" s="1331"/>
      <c r="AU61" s="1331"/>
      <c r="AV61" s="1331"/>
      <c r="AW61" s="1331"/>
      <c r="AX61" s="1331"/>
      <c r="AY61" s="1331"/>
      <c r="AZ61" s="1331"/>
      <c r="BA61" s="1331"/>
      <c r="BB61" s="1331"/>
      <c r="BC61" s="1331"/>
      <c r="BE61" s="796"/>
      <c r="BF61" s="796" t="str">
        <f>IF(T61="","",T61)</f>
        <v>Добавить централизованную систему для дифференциации</v>
      </c>
      <c r="BG61" s="796"/>
      <c r="BH61" s="796"/>
      <c r="BI61" s="525">
        <v>0</v>
      </c>
    </row>
    <row s="1649" customFormat="1" customHeight="1" ht="0">
      <c r="A62" s="1350" t="s">
        <v>439</v>
      </c>
      <c r="B62" s="1350"/>
      <c r="C62" s="1350"/>
      <c r="D62" s="1350"/>
      <c r="E62" s="2265"/>
      <c r="F62" s="1350"/>
      <c r="G62" s="1350"/>
      <c r="H62" s="1350"/>
      <c r="I62" s="1350"/>
      <c r="J62" s="1350"/>
      <c r="K62" s="1350"/>
      <c r="L62" s="1353"/>
      <c r="M62" s="1328"/>
      <c r="N62" s="1328"/>
      <c r="O62" s="525"/>
      <c r="P62" s="387"/>
      <c r="Q62" s="1351"/>
      <c r="R62" s="387"/>
      <c r="S62" s="1329"/>
      <c r="T62" s="1332" t="s">
        <v>390</v>
      </c>
      <c r="U62" s="1331"/>
      <c r="V62" s="1331"/>
      <c r="W62" s="1331"/>
      <c r="X62" s="1331"/>
      <c r="Y62" s="1331"/>
      <c r="Z62" s="1331"/>
      <c r="AA62" s="1331"/>
      <c r="AB62" s="1331"/>
      <c r="AC62" s="1331"/>
      <c r="AD62" s="1331"/>
      <c r="AE62" s="1331"/>
      <c r="AF62" s="1331"/>
      <c r="AG62" s="1331"/>
      <c r="AH62" s="1331"/>
      <c r="AI62" s="1331"/>
      <c r="AJ62" s="1331"/>
      <c r="AK62" s="1331"/>
      <c r="AL62" s="1331"/>
      <c r="AM62" s="1331"/>
      <c r="AN62" s="1331"/>
      <c r="AO62" s="1331"/>
      <c r="AP62" s="1331"/>
      <c r="AQ62" s="1331"/>
      <c r="AR62" s="1331"/>
      <c r="AS62" s="1331"/>
      <c r="AT62" s="1331"/>
      <c r="AU62" s="1331"/>
      <c r="AV62" s="1331"/>
      <c r="AW62" s="1331"/>
      <c r="AX62" s="1331"/>
      <c r="AY62" s="1331"/>
      <c r="AZ62" s="1331"/>
      <c r="BA62" s="1331"/>
      <c r="BB62" s="1331"/>
      <c r="BC62" s="1331"/>
      <c r="BE62" s="507"/>
      <c r="BF62" s="507" t="str">
        <f>IF(T62="","",T62)</f>
        <v>Добавить территорию для дифференциации</v>
      </c>
      <c r="BG62" s="507"/>
      <c r="BH62" s="507"/>
      <c r="BI62" s="518">
        <v>0</v>
      </c>
    </row>
    <row s="1649" customFormat="1" customHeight="1" ht="0">
      <c r="A63" s="1321"/>
      <c r="B63" s="1321"/>
      <c r="C63" s="1321"/>
      <c r="D63" s="1321"/>
      <c r="E63" s="1350"/>
      <c r="F63" s="1321"/>
      <c r="G63" s="1321"/>
      <c r="H63" s="1321"/>
      <c r="I63" s="1321"/>
      <c r="J63" s="1321"/>
      <c r="K63" s="1321"/>
      <c r="L63" s="1501"/>
      <c r="M63" s="1328"/>
      <c r="N63" s="1328"/>
      <c r="P63" s="1323"/>
      <c r="Q63" s="1324"/>
      <c r="R63" s="1323"/>
      <c r="S63" s="1329"/>
      <c r="T63" s="1332" t="s">
        <v>391</v>
      </c>
      <c r="U63" s="1331"/>
      <c r="V63" s="1331"/>
      <c r="W63" s="1331"/>
      <c r="X63" s="1331"/>
      <c r="Y63" s="1331"/>
      <c r="Z63" s="1331"/>
      <c r="AA63" s="1331"/>
      <c r="AB63" s="1331"/>
      <c r="AC63" s="1331"/>
      <c r="AD63" s="1331"/>
      <c r="AE63" s="1331"/>
      <c r="AF63" s="1331"/>
      <c r="AG63" s="1331"/>
      <c r="AH63" s="1331"/>
      <c r="AI63" s="1331"/>
      <c r="AJ63" s="1331"/>
      <c r="AK63" s="1331"/>
      <c r="AL63" s="1331"/>
      <c r="AM63" s="1331"/>
      <c r="AN63" s="1331"/>
      <c r="AO63" s="1331"/>
      <c r="AP63" s="1331"/>
      <c r="AQ63" s="1331"/>
      <c r="AR63" s="1331"/>
      <c r="AS63" s="1331"/>
      <c r="AT63" s="1331"/>
      <c r="AU63" s="1331"/>
      <c r="AV63" s="1331"/>
      <c r="AW63" s="1331"/>
      <c r="AX63" s="1331"/>
      <c r="AY63" s="1331"/>
      <c r="AZ63" s="1331"/>
      <c r="BA63" s="1331"/>
      <c r="BB63" s="1331"/>
      <c r="BC63" s="1331"/>
      <c r="BE63" s="796"/>
      <c r="BF63" s="796" t="str">
        <f>IF(T63="","",T63)</f>
        <v>Добавить наименование тарифа</v>
      </c>
      <c r="BG63" s="796"/>
      <c r="BH63" s="796"/>
      <c r="BI63" s="525">
        <v>0</v>
      </c>
    </row>
    <row customHeight="1" ht="11.549999999999999">
      <c r="M64" s="1167"/>
      <c r="N64" s="1167"/>
      <c r="O64" s="544"/>
      <c r="P64" s="1167"/>
      <c r="Q64" s="1167"/>
      <c r="R64" s="1162"/>
      <c r="S64" s="1162"/>
      <c r="BD64" s="1162"/>
      <c r="BE64" s="1162"/>
      <c r="BF64" s="1162"/>
      <c r="BG64" s="1162"/>
      <c r="BH64" s="1162"/>
      <c r="BI64" s="1162">
        <v>11</v>
      </c>
    </row>
    <row customHeight="1" ht="14.699999999999998">
      <c r="O65" s="544"/>
      <c r="S65" s="1260"/>
      <c r="T65" s="2292"/>
      <c r="U65" s="2292"/>
      <c r="V65" s="2292"/>
      <c r="W65" s="2292"/>
      <c r="X65" s="2292"/>
      <c r="Y65" s="2292"/>
      <c r="Z65" s="2292"/>
      <c r="AA65" s="2292"/>
      <c r="AB65" s="2292"/>
      <c r="AC65" s="2292"/>
      <c r="AD65" s="2292"/>
      <c r="AE65" s="2292"/>
      <c r="AF65" s="2292"/>
      <c r="AG65" s="2292"/>
      <c r="AH65" s="2292"/>
      <c r="AI65" s="2292"/>
      <c r="AJ65" s="2292"/>
      <c r="AK65" s="2292"/>
      <c r="AL65" s="2292"/>
      <c r="AM65" s="2292"/>
      <c r="AN65" s="2292"/>
      <c r="AO65" s="2292"/>
      <c r="AP65" s="2292"/>
      <c r="AQ65" s="2292"/>
      <c r="AR65" s="2292"/>
      <c r="AS65" s="2292"/>
      <c r="AT65" s="2292"/>
      <c r="AU65" s="2292"/>
      <c r="AV65" s="2292"/>
      <c r="AW65" s="2292"/>
      <c r="AX65" s="2292"/>
      <c r="AY65" s="2292"/>
      <c r="AZ65" s="2292"/>
      <c r="BA65" s="2292"/>
      <c r="BB65" s="2292"/>
      <c r="BC65" s="2292"/>
      <c r="BI65" s="1162">
        <v>14</v>
      </c>
    </row>
    <row customHeight="1" ht="14.699999999999998">
      <c r="O66" s="544"/>
      <c r="T66" s="1487"/>
      <c r="U66" s="1487"/>
      <c r="V66" s="1487"/>
      <c r="W66" s="1487"/>
      <c r="X66" s="1487"/>
      <c r="Y66" s="1487"/>
      <c r="Z66" s="1487"/>
      <c r="AA66" s="1487"/>
      <c r="AB66" s="1487"/>
      <c r="AC66" s="1487"/>
      <c r="AD66" s="1487"/>
      <c r="AE66" s="1487"/>
      <c r="AF66" s="1487"/>
      <c r="AG66" s="1487"/>
      <c r="AH66" s="1487"/>
      <c r="AI66" s="1487"/>
      <c r="AJ66" s="1487"/>
      <c r="AK66" s="1487"/>
      <c r="AL66" s="1487"/>
      <c r="AM66" s="1487"/>
      <c r="AN66" s="1487"/>
      <c r="AO66" s="1487"/>
      <c r="AP66" s="1487"/>
      <c r="AQ66" s="1487"/>
      <c r="AR66" s="1487"/>
      <c r="AS66" s="1487"/>
      <c r="AT66" s="1487"/>
      <c r="AU66" s="1487"/>
      <c r="AV66" s="1487"/>
      <c r="AW66" s="1487"/>
      <c r="AX66" s="1487"/>
      <c r="AY66" s="1487"/>
      <c r="AZ66" s="1487"/>
      <c r="BA66" s="1487"/>
      <c r="BB66" s="1487"/>
      <c r="BC66" s="1487"/>
      <c r="BI66" s="1162">
        <v>14</v>
      </c>
    </row>
    <row customHeight="1" ht="14.699999999999998">
      <c r="O67" s="544"/>
      <c r="S67" s="1260"/>
      <c r="T67" s="2292"/>
      <c r="U67" s="2292"/>
      <c r="V67" s="2292"/>
      <c r="W67" s="2292"/>
      <c r="X67" s="2292"/>
      <c r="Y67" s="2292"/>
      <c r="Z67" s="2292"/>
      <c r="AA67" s="2292"/>
      <c r="AB67" s="2292"/>
      <c r="AC67" s="2292"/>
      <c r="AD67" s="2292"/>
      <c r="AE67" s="2292"/>
      <c r="AF67" s="2292"/>
      <c r="AG67" s="2292"/>
      <c r="AH67" s="2292"/>
      <c r="AI67" s="2292"/>
      <c r="AJ67" s="2292"/>
      <c r="AK67" s="2292"/>
      <c r="AL67" s="2292"/>
      <c r="AM67" s="2292"/>
      <c r="AN67" s="2292"/>
      <c r="AO67" s="2292"/>
      <c r="AP67" s="2292"/>
      <c r="AQ67" s="2292"/>
      <c r="AR67" s="2292"/>
      <c r="AS67" s="2292"/>
      <c r="AT67" s="2292"/>
      <c r="AU67" s="2292"/>
      <c r="AV67" s="2292"/>
      <c r="AW67" s="2292"/>
      <c r="AX67" s="2292"/>
      <c r="AY67" s="2292"/>
      <c r="AZ67" s="2292"/>
      <c r="BA67" s="2292"/>
      <c r="BB67" s="2292"/>
      <c r="BC67" s="2292"/>
      <c r="BI67" s="1162">
        <v>14</v>
      </c>
    </row>
    <row customHeight="1" ht="14.699999999999998">
      <c r="O68" s="544"/>
      <c r="BI68" s="1162">
        <v>14</v>
      </c>
    </row>
    <row customHeight="1" ht="14.25" hidden="1">
      <c r="A69" s="1167" t="s">
        <v>82</v>
      </c>
      <c r="B69" s="1167">
        <v>0</v>
      </c>
      <c r="C69" s="1167">
        <v>0</v>
      </c>
      <c r="D69" s="1167">
        <v>0</v>
      </c>
      <c r="E69" s="1167">
        <v>0</v>
      </c>
      <c r="F69" s="1167">
        <v>0</v>
      </c>
      <c r="G69" s="1167">
        <v>0</v>
      </c>
      <c r="H69" s="1167">
        <v>0</v>
      </c>
      <c r="I69" s="1167">
        <v>0</v>
      </c>
      <c r="J69" s="1167">
        <v>0</v>
      </c>
      <c r="K69" s="1167">
        <v>0</v>
      </c>
      <c r="L69" s="1485">
        <v>0</v>
      </c>
      <c r="M69" s="1369">
        <v>0</v>
      </c>
      <c r="N69" s="1369">
        <v>0</v>
      </c>
      <c r="O69" s="1369">
        <v>0</v>
      </c>
      <c r="P69" s="1369">
        <v>0</v>
      </c>
      <c r="Q69" s="1378">
        <v>0</v>
      </c>
      <c r="R69" s="351">
        <v>3</v>
      </c>
      <c r="S69" s="588">
        <v>12</v>
      </c>
      <c r="T69" s="1162">
        <v>31</v>
      </c>
      <c r="U69" s="1162">
        <v>0</v>
      </c>
      <c r="V69" s="1162">
        <v>0</v>
      </c>
      <c r="W69" s="1162">
        <v>0</v>
      </c>
      <c r="X69" s="1162">
        <v>0</v>
      </c>
      <c r="Y69" s="1162">
        <v>0</v>
      </c>
      <c r="Z69" s="1162">
        <v>0</v>
      </c>
      <c r="AA69" s="1162">
        <v>0</v>
      </c>
      <c r="AB69" s="1162">
        <v>0</v>
      </c>
      <c r="AC69" s="1162">
        <v>0</v>
      </c>
      <c r="AD69" s="1162">
        <v>3</v>
      </c>
      <c r="AE69" s="1162">
        <v>3</v>
      </c>
      <c r="AF69" s="1162">
        <v>3</v>
      </c>
      <c r="AG69" s="1162">
        <v>24</v>
      </c>
      <c r="AH69" s="1162">
        <v>3</v>
      </c>
      <c r="AI69" s="1162">
        <v>3</v>
      </c>
      <c r="AJ69" s="1162">
        <v>3</v>
      </c>
      <c r="AK69" s="1162">
        <v>24</v>
      </c>
      <c r="AL69" s="1162">
        <v>3</v>
      </c>
      <c r="AM69" s="1162">
        <v>3</v>
      </c>
      <c r="AN69" s="1162">
        <v>3</v>
      </c>
      <c r="AO69" s="1162">
        <v>18</v>
      </c>
      <c r="AP69" s="1162">
        <v>3</v>
      </c>
      <c r="AQ69" s="1162">
        <v>3</v>
      </c>
      <c r="AR69" s="1162">
        <v>3</v>
      </c>
      <c r="AS69" s="1162">
        <v>18</v>
      </c>
      <c r="AT69" s="1162">
        <v>21</v>
      </c>
      <c r="AU69" s="1162">
        <v>21</v>
      </c>
      <c r="AV69" s="1162">
        <v>21</v>
      </c>
      <c r="AW69" s="1162">
        <v>21</v>
      </c>
      <c r="AX69" s="1162">
        <v>11</v>
      </c>
      <c r="AY69" s="1162">
        <v>3</v>
      </c>
      <c r="AZ69" s="1162">
        <v>11</v>
      </c>
      <c r="BA69" s="1162">
        <v>0</v>
      </c>
      <c r="BB69" s="1162">
        <v>4</v>
      </c>
      <c r="BC69" s="1162">
        <v>115</v>
      </c>
      <c r="BD69" s="518">
        <v>10</v>
      </c>
      <c r="BE69" s="518">
        <v>10</v>
      </c>
      <c r="BF69" s="518">
        <v>10</v>
      </c>
      <c r="BG69" s="518">
        <v>10</v>
      </c>
      <c r="BH69" s="518">
        <v>10</v>
      </c>
      <c r="BI69" s="1162">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B89E59-2997-D15F-B0B4-978EC2DFD474}"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8" style="1642" width="19.7109375" hidden="1" customWidth="1"/>
    <col min="29" max="29" style="1642" width="11.7109375" hidden="1" customWidth="1"/>
    <col min="30" max="30" style="1642" width="3.7109375" hidden="1" customWidth="1"/>
    <col min="31" max="31" style="1642" width="11.7109375" hidden="1" customWidth="1"/>
    <col min="32" max="32" style="1642" width="8.57421875" hidden="1" customWidth="1"/>
    <col min="33" max="33" style="1642" width="19.7109375" customWidth="1"/>
    <col min="34" max="39" style="1642" width="19.00390625" customWidth="1"/>
    <col min="40" max="40" style="1642" width="11.00390625" customWidth="1"/>
    <col min="41" max="41" style="1642" width="3.7109375" customWidth="1"/>
    <col min="42" max="42" style="1642" width="11.00390625" customWidth="1"/>
    <col min="43" max="43" style="1642" width="8.57421875" hidden="1" customWidth="1"/>
    <col min="44" max="44" style="1642" width="4.00390625" customWidth="1"/>
    <col min="45" max="45" style="1642" width="115.00390625" customWidth="1"/>
    <col min="46" max="50" style="1649" width="10.00390625" customWidth="1"/>
    <col min="51" max="51" style="1642" width="10.57421875" hidden="1"/>
  </cols>
  <sheetData>
    <row customHeight="1" ht="22.5" hidden="1">
      <c r="AC1" s="334"/>
      <c r="AN1" s="334"/>
      <c r="AY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500">
        <f>INDEX(PT_DIFFERENTIATION_NUM_NTAR,MATCH(A2,PT_DIFFERENTIATION_NTAR_ID,0))</f>
      </c>
      <c r="T2" s="305" t="s">
        <v>215</v>
      </c>
      <c r="U2" s="307"/>
      <c r="V2" s="2249"/>
      <c r="W2" s="2250"/>
      <c r="X2" s="2250"/>
      <c r="Y2" s="2250"/>
      <c r="Z2" s="2250"/>
      <c r="AA2" s="2250"/>
      <c r="AB2" s="2250"/>
      <c r="AC2" s="2250"/>
      <c r="AD2" s="2250"/>
      <c r="AE2" s="2250"/>
      <c r="AF2" s="2251"/>
      <c r="AG2" s="2249">
        <f>INDEX(PT_DIFFERENTIATION_NTAR,MATCH(A2,PT_DIFFERENTIATION_NTAR_ID,0))</f>
      </c>
      <c r="AH2" s="2250"/>
      <c r="AI2" s="2250"/>
      <c r="AJ2" s="2250"/>
      <c r="AK2" s="2250"/>
      <c r="AL2" s="2250"/>
      <c r="AM2" s="2250"/>
      <c r="AN2" s="2250"/>
      <c r="AO2" s="2250"/>
      <c r="AP2" s="2250"/>
      <c r="AQ2" s="2250"/>
      <c r="AR2" s="2251"/>
      <c r="AS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7"/>
      <c r="AV2" s="507" t="str">
        <f>IF(T2="","",T2)</f>
        <v>Наименование тарифа</v>
      </c>
      <c r="AW2" s="507"/>
      <c r="AX2" s="507"/>
      <c r="AY2" s="1162">
        <v>0</v>
      </c>
    </row>
    <row customHeight="1" ht="23.25" hidden="1">
      <c r="A3" s="1370"/>
      <c r="B3" s="1370"/>
      <c r="C3" s="1370"/>
      <c r="D3" s="1370"/>
      <c r="E3" s="2266"/>
      <c r="F3" s="2265">
        <v>1</v>
      </c>
      <c r="G3" s="1370"/>
      <c r="H3" s="1370"/>
      <c r="I3" s="1370"/>
      <c r="J3" s="1370"/>
      <c r="K3" s="1370"/>
      <c r="L3" s="1371"/>
      <c r="M3" s="1372"/>
      <c r="N3" s="1372"/>
      <c r="O3" s="1372"/>
      <c r="P3" s="1494"/>
      <c r="Q3" s="359"/>
      <c r="R3" s="360"/>
      <c r="S3" s="1500">
        <f>INDEX(PT_DIFFERENTIATION_NUM_TER,MATCH(B3,PT_DIFFERENTIATION_TER_ID,0))</f>
      </c>
      <c r="T3" s="315" t="s">
        <v>560</v>
      </c>
      <c r="U3" s="307"/>
      <c r="V3" s="2249"/>
      <c r="W3" s="2250"/>
      <c r="X3" s="2250"/>
      <c r="Y3" s="2250"/>
      <c r="Z3" s="2250"/>
      <c r="AA3" s="2250"/>
      <c r="AB3" s="2250"/>
      <c r="AC3" s="2250"/>
      <c r="AD3" s="2250"/>
      <c r="AE3" s="2250"/>
      <c r="AF3" s="2251"/>
      <c r="AG3" s="2249">
        <f>INDEX(PT_DIFFERENTIATION_TER,MATCH(B3,PT_DIFFERENTIATION_TER_ID,0))</f>
      </c>
      <c r="AH3" s="2250"/>
      <c r="AI3" s="2250"/>
      <c r="AJ3" s="2250"/>
      <c r="AK3" s="2250"/>
      <c r="AL3" s="2250"/>
      <c r="AM3" s="2250"/>
      <c r="AN3" s="2250"/>
      <c r="AO3" s="2250"/>
      <c r="AP3" s="2250"/>
      <c r="AQ3" s="2250"/>
      <c r="AR3" s="2251"/>
      <c r="AS3" s="1265" t="s">
        <v>561</v>
      </c>
      <c r="AU3" s="507"/>
      <c r="AV3" s="507" t="str">
        <f>IF(T3="","",T3)</f>
        <v>Территория действия тарифа</v>
      </c>
      <c r="AW3" s="507"/>
      <c r="AX3" s="507"/>
      <c r="AY3" s="1162">
        <v>0</v>
      </c>
    </row>
    <row customHeight="1" ht="23.25" hidden="1">
      <c r="A4" s="1370"/>
      <c r="B4" s="1370"/>
      <c r="C4" s="1370"/>
      <c r="D4" s="1370"/>
      <c r="E4" s="2266"/>
      <c r="F4" s="2266"/>
      <c r="G4" s="2265">
        <v>1</v>
      </c>
      <c r="H4" s="1370"/>
      <c r="I4" s="1370"/>
      <c r="J4" s="1370"/>
      <c r="K4" s="1370"/>
      <c r="L4" s="1371"/>
      <c r="M4" s="1372"/>
      <c r="N4" s="1372"/>
      <c r="O4" s="1372"/>
      <c r="P4" s="361"/>
      <c r="Q4" s="359"/>
      <c r="R4" s="360"/>
      <c r="S4" s="1500">
        <f>INDEX(PT_DIFFERENTIATION_NUM_CS,MATCH(C4,PT_DIFFERENTIATION_CS_ID,0))</f>
      </c>
      <c r="T4" s="316" t="s">
        <v>692</v>
      </c>
      <c r="U4" s="307"/>
      <c r="V4" s="2249"/>
      <c r="W4" s="2250"/>
      <c r="X4" s="2250"/>
      <c r="Y4" s="2250"/>
      <c r="Z4" s="2250"/>
      <c r="AA4" s="2250"/>
      <c r="AB4" s="2250"/>
      <c r="AC4" s="2250"/>
      <c r="AD4" s="2250"/>
      <c r="AE4" s="2250"/>
      <c r="AF4" s="2251"/>
      <c r="AG4" s="2249">
        <f>INDEX(PT_DIFFERENTIATION_CS,MATCH(C4,PT_DIFFERENTIATION_CS_ID,0))</f>
      </c>
      <c r="AH4" s="2250"/>
      <c r="AI4" s="2250"/>
      <c r="AJ4" s="2250"/>
      <c r="AK4" s="2250"/>
      <c r="AL4" s="2250"/>
      <c r="AM4" s="2250"/>
      <c r="AN4" s="2250"/>
      <c r="AO4" s="2250"/>
      <c r="AP4" s="2250"/>
      <c r="AQ4" s="2250"/>
      <c r="AR4" s="2251"/>
      <c r="AS4" s="1265" t="s">
        <v>693</v>
      </c>
      <c r="AU4" s="507"/>
      <c r="AV4" s="507" t="str">
        <f>IF(T4="","",T4)</f>
        <v>Наименование централизованной системы горячего водоснабжения</v>
      </c>
      <c r="AW4" s="507"/>
      <c r="AX4" s="507"/>
      <c r="AY4" s="1162">
        <v>0</v>
      </c>
    </row>
    <row customHeight="1" ht="23.25" hidden="1">
      <c r="A5" s="1370"/>
      <c r="B5" s="1370"/>
      <c r="C5" s="1370"/>
      <c r="D5" s="1370"/>
      <c r="E5" s="2266"/>
      <c r="F5" s="2266"/>
      <c r="G5" s="2266"/>
      <c r="H5" s="2266"/>
      <c r="I5" s="2263">
        <f>S4&amp;".1"</f>
      </c>
      <c r="J5" s="1370"/>
      <c r="K5" s="1370"/>
      <c r="L5" s="1371"/>
      <c r="P5" s="2264">
        <v>1</v>
      </c>
      <c r="Q5" s="1488"/>
      <c r="R5" s="363"/>
      <c r="S5" s="1500">
        <f>$I5</f>
      </c>
      <c r="T5" s="292" t="s">
        <v>643</v>
      </c>
      <c r="U5" s="307"/>
      <c r="V5" s="2357"/>
      <c r="W5" s="2358"/>
      <c r="X5" s="2358"/>
      <c r="Y5" s="2358"/>
      <c r="Z5" s="2358"/>
      <c r="AA5" s="2358"/>
      <c r="AB5" s="2358"/>
      <c r="AC5" s="2358"/>
      <c r="AD5" s="2358"/>
      <c r="AE5" s="2358"/>
      <c r="AF5" s="2359"/>
      <c r="AG5" s="2360"/>
      <c r="AH5" s="2361"/>
      <c r="AI5" s="2361"/>
      <c r="AJ5" s="2361"/>
      <c r="AK5" s="2361"/>
      <c r="AL5" s="2361"/>
      <c r="AM5" s="2361"/>
      <c r="AN5" s="2361"/>
      <c r="AO5" s="2361"/>
      <c r="AP5" s="2361"/>
      <c r="AQ5" s="2361"/>
      <c r="AR5" s="2362"/>
      <c r="AS5" s="1265" t="s">
        <v>644</v>
      </c>
      <c r="AU5" s="507"/>
      <c r="AV5" s="507" t="str">
        <f>IF(T5="","",T5)</f>
        <v>Наименование признака дифференциации</v>
      </c>
      <c r="AW5" s="507"/>
      <c r="AX5" s="507"/>
      <c r="AY5" s="1162">
        <v>0</v>
      </c>
    </row>
    <row customHeight="1" ht="23.25" hidden="1">
      <c r="A6" s="1370"/>
      <c r="B6" s="1370"/>
      <c r="C6" s="1370"/>
      <c r="D6" s="1370"/>
      <c r="E6" s="2266"/>
      <c r="F6" s="2266"/>
      <c r="G6" s="2266"/>
      <c r="H6" s="2266"/>
      <c r="I6" s="2293"/>
      <c r="J6" s="2263">
        <f>I5&amp;".1"</f>
      </c>
      <c r="K6" s="1370"/>
      <c r="L6" s="1371" t="s">
        <v>569</v>
      </c>
      <c r="P6" s="2264"/>
      <c r="Q6" s="2264">
        <v>1</v>
      </c>
      <c r="R6" s="364"/>
      <c r="S6" s="1500">
        <f>$J6</f>
      </c>
      <c r="T6" s="293" t="s">
        <v>570</v>
      </c>
      <c r="U6" s="307"/>
      <c r="V6" s="2252"/>
      <c r="W6" s="2253"/>
      <c r="X6" s="2253"/>
      <c r="Y6" s="2253"/>
      <c r="Z6" s="2253"/>
      <c r="AA6" s="2253"/>
      <c r="AB6" s="2253"/>
      <c r="AC6" s="2253"/>
      <c r="AD6" s="2253"/>
      <c r="AE6" s="2253"/>
      <c r="AF6" s="2254"/>
      <c r="AG6" s="2252"/>
      <c r="AH6" s="2253"/>
      <c r="AI6" s="2253"/>
      <c r="AJ6" s="2253"/>
      <c r="AK6" s="2253"/>
      <c r="AL6" s="2253"/>
      <c r="AM6" s="2253"/>
      <c r="AN6" s="2253"/>
      <c r="AO6" s="2253"/>
      <c r="AP6" s="2253"/>
      <c r="AQ6" s="2253"/>
      <c r="AR6" s="2254"/>
      <c r="AS6" s="1314" t="s">
        <v>645</v>
      </c>
      <c r="AU6" s="507"/>
      <c r="AV6" s="507" t="str">
        <f>IF(T6="","",T6)</f>
        <v>Группа потребителей</v>
      </c>
      <c r="AW6" s="507"/>
      <c r="AX6" s="507"/>
      <c r="AY6" s="1162">
        <v>0</v>
      </c>
    </row>
    <row customHeight="1" ht="23.25" hidden="1">
      <c r="A7" s="1370"/>
      <c r="B7" s="1370"/>
      <c r="C7" s="1370"/>
      <c r="D7" s="1370"/>
      <c r="E7" s="2266"/>
      <c r="F7" s="2266"/>
      <c r="G7" s="2266"/>
      <c r="H7" s="2266"/>
      <c r="I7" s="2293"/>
      <c r="J7" s="2293"/>
      <c r="K7" s="2263">
        <f>J6&amp;".1"</f>
      </c>
      <c r="L7" s="1371"/>
      <c r="P7" s="2264"/>
      <c r="Q7" s="2264"/>
      <c r="R7" s="364">
        <v>1</v>
      </c>
      <c r="S7" s="1500">
        <f>$K7</f>
      </c>
      <c r="T7" s="1444"/>
      <c r="U7" s="307"/>
      <c r="V7" s="758"/>
      <c r="W7" s="758"/>
      <c r="X7" s="758"/>
      <c r="Y7" s="758"/>
      <c r="Z7" s="758"/>
      <c r="AA7" s="758"/>
      <c r="AB7" s="758"/>
      <c r="AC7" s="2272"/>
      <c r="AD7" s="2114" t="s">
        <v>66</v>
      </c>
      <c r="AE7" s="2272"/>
      <c r="AF7" s="2114" t="s">
        <v>66</v>
      </c>
      <c r="AG7" s="758"/>
      <c r="AH7" s="758"/>
      <c r="AI7" s="758"/>
      <c r="AJ7" s="758"/>
      <c r="AK7" s="758"/>
      <c r="AL7" s="758"/>
      <c r="AM7" s="758"/>
      <c r="AN7" s="2272"/>
      <c r="AO7" s="2114" t="s">
        <v>66</v>
      </c>
      <c r="AP7" s="2294"/>
      <c r="AQ7" s="2114" t="s">
        <v>66</v>
      </c>
      <c r="AR7" s="1445"/>
      <c r="AS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8">
        <f>STRCHECKDATE(V8:AR8)</f>
      </c>
      <c r="AU7" s="507"/>
      <c r="AV7" s="507" t="str">
        <f>IF(T7="","",T7)</f>
        <v/>
      </c>
      <c r="AW7" s="507"/>
      <c r="AX7" s="507"/>
      <c r="AY7" s="1162">
        <v>0</v>
      </c>
    </row>
    <row customHeight="1" ht="14.25" hidden="1">
      <c r="A8" s="1370"/>
      <c r="B8" s="1370"/>
      <c r="C8" s="1370"/>
      <c r="D8" s="1370"/>
      <c r="E8" s="2266"/>
      <c r="F8" s="2266"/>
      <c r="G8" s="2266"/>
      <c r="H8" s="2266"/>
      <c r="I8" s="2293"/>
      <c r="J8" s="2293"/>
      <c r="K8" s="2263"/>
      <c r="L8" s="1371"/>
      <c r="P8" s="2264"/>
      <c r="Q8" s="2264"/>
      <c r="R8" s="364"/>
      <c r="S8" s="1497"/>
      <c r="T8" s="307"/>
      <c r="U8" s="307"/>
      <c r="V8" s="332"/>
      <c r="W8" s="332"/>
      <c r="X8" s="332"/>
      <c r="Y8" s="332"/>
      <c r="Z8" s="332"/>
      <c r="AA8" s="332"/>
      <c r="AB8" s="332"/>
      <c r="AC8" s="2273"/>
      <c r="AD8" s="2114"/>
      <c r="AE8" s="2273"/>
      <c r="AF8" s="2114"/>
      <c r="AG8" s="332"/>
      <c r="AH8" s="332"/>
      <c r="AI8" s="332"/>
      <c r="AJ8" s="332"/>
      <c r="AK8" s="332"/>
      <c r="AL8" s="332"/>
      <c r="AM8" s="332"/>
      <c r="AN8" s="2273"/>
      <c r="AO8" s="2114"/>
      <c r="AP8" s="2295"/>
      <c r="AQ8" s="2114"/>
      <c r="AR8" s="1446"/>
      <c r="AS8" s="2356"/>
      <c r="AU8" s="507"/>
      <c r="AV8" s="507" t="str">
        <f>IF(T8="","",T8)</f>
        <v/>
      </c>
      <c r="AW8" s="507"/>
      <c r="AX8" s="507"/>
      <c r="AY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607"/>
      <c r="X9" s="607"/>
      <c r="Y9" s="607"/>
      <c r="Z9" s="607"/>
      <c r="AA9" s="607"/>
      <c r="AB9" s="607"/>
      <c r="AC9" s="374"/>
      <c r="AD9" s="374"/>
      <c r="AE9" s="374"/>
      <c r="AF9" s="374"/>
      <c r="AG9" s="374"/>
      <c r="AH9" s="607"/>
      <c r="AI9" s="607"/>
      <c r="AJ9" s="607"/>
      <c r="AK9" s="607"/>
      <c r="AL9" s="607"/>
      <c r="AM9" s="374"/>
      <c r="AN9" s="374"/>
      <c r="AO9" s="374"/>
      <c r="AP9" s="374"/>
      <c r="AQ9" s="374"/>
      <c r="AR9" s="374"/>
      <c r="AS9" s="1265" t="s">
        <v>647</v>
      </c>
      <c r="AU9" s="507"/>
      <c r="AV9" s="507" t="str">
        <f>IF(T9="","",T9)</f>
        <v>Добавить значение признака дифференциации</v>
      </c>
      <c r="AW9" s="507"/>
      <c r="AX9" s="507"/>
      <c r="AY9" s="1162">
        <v>0</v>
      </c>
    </row>
    <row customHeight="1" ht="21" hidden="1">
      <c r="A10" s="1370"/>
      <c r="B10" s="1370"/>
      <c r="C10" s="1370"/>
      <c r="D10" s="1370"/>
      <c r="E10" s="2266"/>
      <c r="F10" s="2266"/>
      <c r="G10" s="2266"/>
      <c r="H10" s="2266"/>
      <c r="I10" s="2263"/>
      <c r="J10" s="1370"/>
      <c r="K10" s="1370"/>
      <c r="L10" s="1371"/>
      <c r="P10" s="2264"/>
      <c r="Q10" s="1488"/>
      <c r="R10" s="363"/>
      <c r="S10" s="1285"/>
      <c r="T10" s="372" t="s">
        <v>575</v>
      </c>
      <c r="U10" s="374"/>
      <c r="V10" s="374"/>
      <c r="W10" s="607"/>
      <c r="X10" s="607"/>
      <c r="Y10" s="607"/>
      <c r="Z10" s="607"/>
      <c r="AA10" s="607"/>
      <c r="AB10" s="607"/>
      <c r="AC10" s="374"/>
      <c r="AD10" s="374"/>
      <c r="AE10" s="374"/>
      <c r="AF10" s="373"/>
      <c r="AG10" s="374"/>
      <c r="AH10" s="607"/>
      <c r="AI10" s="607"/>
      <c r="AJ10" s="607"/>
      <c r="AK10" s="607"/>
      <c r="AL10" s="607"/>
      <c r="AM10" s="374"/>
      <c r="AN10" s="374"/>
      <c r="AO10" s="374"/>
      <c r="AP10" s="374"/>
      <c r="AQ10" s="373"/>
      <c r="AR10" s="374"/>
      <c r="AS10" s="1447"/>
      <c r="AU10" s="507"/>
      <c r="AV10" s="507" t="str">
        <f>IF(T10="","",T10)</f>
        <v>Добавить группу потребителей</v>
      </c>
      <c r="AW10" s="507"/>
      <c r="AX10" s="507"/>
      <c r="AY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607"/>
      <c r="X11" s="607"/>
      <c r="Y11" s="607"/>
      <c r="Z11" s="607"/>
      <c r="AA11" s="607"/>
      <c r="AB11" s="607"/>
      <c r="AC11" s="374"/>
      <c r="AD11" s="374"/>
      <c r="AE11" s="374"/>
      <c r="AF11" s="373"/>
      <c r="AG11" s="374"/>
      <c r="AH11" s="607"/>
      <c r="AI11" s="607"/>
      <c r="AJ11" s="607"/>
      <c r="AK11" s="607"/>
      <c r="AL11" s="607"/>
      <c r="AM11" s="374"/>
      <c r="AN11" s="374"/>
      <c r="AO11" s="374"/>
      <c r="AP11" s="374"/>
      <c r="AQ11" s="373"/>
      <c r="AR11" s="374"/>
      <c r="AS11" s="310"/>
      <c r="AU11" s="507"/>
      <c r="AV11" s="507" t="str">
        <f>IF(T11="","",T11)</f>
        <v>Добавить наименование признака дифференциации</v>
      </c>
      <c r="AW11" s="507"/>
      <c r="AX11" s="507"/>
      <c r="AY11" s="1162">
        <v>0</v>
      </c>
    </row>
    <row s="1649" customFormat="1" customHeight="1" ht="14.25" hidden="1">
      <c r="A12" s="1350"/>
      <c r="B12" s="1350"/>
      <c r="C12" s="1321"/>
      <c r="D12" s="1321"/>
      <c r="E12" s="2266"/>
      <c r="F12" s="2265"/>
      <c r="G12" s="1321"/>
      <c r="H12" s="1321"/>
      <c r="I12" s="1321"/>
      <c r="J12" s="1321"/>
      <c r="K12" s="1321"/>
      <c r="L12" s="1501"/>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L12" s="1331"/>
      <c r="AM12" s="1331"/>
      <c r="AN12" s="1331"/>
      <c r="AO12" s="1331"/>
      <c r="AP12" s="1331"/>
      <c r="AQ12" s="1331"/>
      <c r="AR12" s="1331"/>
      <c r="AS12" s="1331"/>
      <c r="AU12" s="796"/>
      <c r="AV12" s="796" t="str">
        <f>IF(T12="","",T12)</f>
        <v>Добавить централизованную систему для дифференциации</v>
      </c>
      <c r="AW12" s="796"/>
      <c r="AX12" s="796"/>
      <c r="AY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L13" s="1331"/>
      <c r="AM13" s="1331"/>
      <c r="AN13" s="1331"/>
      <c r="AO13" s="1331"/>
      <c r="AP13" s="1331"/>
      <c r="AQ13" s="1331"/>
      <c r="AR13" s="1331"/>
      <c r="AS13" s="1331"/>
      <c r="AU13" s="507"/>
      <c r="AV13" s="507" t="str">
        <f>IF(T13="","",T13)</f>
        <v>Добавить территорию для дифференциации</v>
      </c>
      <c r="AW13" s="507"/>
      <c r="AX13" s="507"/>
      <c r="AY13" s="518">
        <v>0</v>
      </c>
    </row>
    <row customHeight="1" ht="14.25" hidden="1">
      <c r="AF14" s="334"/>
      <c r="AQ14" s="334"/>
      <c r="AY14" s="1162">
        <v>0</v>
      </c>
    </row>
    <row customHeight="1" ht="14.25" hidden="1">
      <c r="AG15" s="1367"/>
      <c r="AH15" s="1367"/>
      <c r="AI15" s="1367"/>
      <c r="AJ15" s="1367"/>
      <c r="AK15" s="1367"/>
      <c r="AL15" s="1367"/>
      <c r="AM15" s="1367"/>
      <c r="AN15" s="2274"/>
      <c r="AO15" s="2275" t="s">
        <v>66</v>
      </c>
      <c r="AP15" s="2274"/>
      <c r="AQ15" s="2275" t="s">
        <v>66</v>
      </c>
      <c r="AY15" s="1162">
        <v>0</v>
      </c>
    </row>
    <row customHeight="1" ht="14.25" hidden="1">
      <c r="AG16" s="1367"/>
      <c r="AH16" s="1367"/>
      <c r="AI16" s="1367"/>
      <c r="AJ16" s="1367"/>
      <c r="AK16" s="1367"/>
      <c r="AL16" s="1367"/>
      <c r="AM16" s="1367"/>
      <c r="AN16" s="2275"/>
      <c r="AO16" s="2275"/>
      <c r="AP16" s="2275"/>
      <c r="AQ16" s="2275"/>
      <c r="AY16" s="1162">
        <v>0</v>
      </c>
    </row>
    <row customHeight="1" ht="14.25" hidden="1">
      <c r="AQ17" s="334"/>
      <c r="AY17" s="1162">
        <v>0</v>
      </c>
    </row>
    <row s="1373" customFormat="1" customHeight="1" ht="22.5" hidden="1">
      <c r="L18" s="1485"/>
      <c r="M18" s="1369"/>
      <c r="N18" s="1369"/>
      <c r="O18" s="1374" t="s">
        <v>578</v>
      </c>
      <c r="P18" s="1369"/>
      <c r="Q18" s="1378"/>
      <c r="R18" s="1378"/>
      <c r="S18" s="736"/>
      <c r="W18" s="1373"/>
      <c r="X18" s="1373"/>
      <c r="Y18" s="1373"/>
      <c r="Z18" s="1373"/>
      <c r="AA18" s="1373"/>
      <c r="AB18" s="1373"/>
      <c r="AC18" s="1374"/>
      <c r="AE18" s="1374"/>
      <c r="AF18" s="1373"/>
      <c r="AH18" s="1373"/>
      <c r="AI18" s="1373"/>
      <c r="AJ18" s="1373"/>
      <c r="AK18" s="1373"/>
      <c r="AL18" s="1373"/>
      <c r="AN18" s="1374"/>
      <c r="AP18" s="1374"/>
      <c r="AQ18" s="1373"/>
      <c r="AT18" s="518"/>
      <c r="AU18" s="518"/>
      <c r="AV18" s="518"/>
      <c r="AW18" s="518"/>
      <c r="AX18" s="518"/>
      <c r="AY18" s="1167">
        <v>0</v>
      </c>
    </row>
    <row s="1373" customFormat="1" customHeight="1" ht="14.25" hidden="1">
      <c r="L19" s="1485"/>
      <c r="M19" s="1369"/>
      <c r="N19" s="1369"/>
      <c r="O19" s="1369"/>
      <c r="P19" s="1369"/>
      <c r="Q19" s="1378"/>
      <c r="R19" s="1378"/>
      <c r="S19" s="736"/>
      <c r="W19" s="1373"/>
      <c r="X19" s="1373"/>
      <c r="Y19" s="1373"/>
      <c r="Z19" s="1373"/>
      <c r="AA19" s="1373"/>
      <c r="AB19" s="1373"/>
      <c r="AF19" s="1373"/>
      <c r="AH19" s="1373"/>
      <c r="AI19" s="1373"/>
      <c r="AJ19" s="1373"/>
      <c r="AK19" s="1373"/>
      <c r="AL19" s="1373"/>
      <c r="AQ19" s="1373"/>
      <c r="AT19" s="518"/>
      <c r="AU19" s="518"/>
      <c r="AV19" s="518"/>
      <c r="AW19" s="518"/>
      <c r="AX19" s="518"/>
      <c r="AY19" s="1167">
        <v>0</v>
      </c>
    </row>
    <row s="1373" customFormat="1" customHeight="1" ht="12" hidden="1">
      <c r="L20" s="1485"/>
      <c r="M20" s="1369"/>
      <c r="N20" s="1369"/>
      <c r="O20" s="1371" t="s">
        <v>579</v>
      </c>
      <c r="P20" s="1369"/>
      <c r="Q20" s="1449"/>
      <c r="R20" s="1449"/>
      <c r="S20" s="736"/>
      <c r="T20" s="1167" t="s">
        <v>580</v>
      </c>
      <c r="W20" s="1373"/>
      <c r="X20" s="1373"/>
      <c r="Y20" s="1373"/>
      <c r="Z20" s="1373"/>
      <c r="AA20" s="1373"/>
      <c r="AB20" s="1373"/>
      <c r="AD20" s="193" t="s">
        <v>581</v>
      </c>
      <c r="AF20" s="193" t="s">
        <v>582</v>
      </c>
      <c r="AG20" s="1167" t="s">
        <v>580</v>
      </c>
      <c r="AH20" s="1373"/>
      <c r="AI20" s="1373"/>
      <c r="AJ20" s="1373"/>
      <c r="AK20" s="1373"/>
      <c r="AL20" s="1373"/>
      <c r="AO20" s="193" t="s">
        <v>583</v>
      </c>
      <c r="AQ20" s="193" t="s">
        <v>582</v>
      </c>
      <c r="AY20" s="1167">
        <v>0</v>
      </c>
    </row>
    <row customHeight="1" ht="14.25" hidden="1">
      <c r="O21" s="1371"/>
      <c r="AY21" s="1162">
        <v>0</v>
      </c>
    </row>
    <row customHeight="1" ht="14.25" hidden="1">
      <c r="O22" s="1371"/>
      <c r="AY22" s="1162">
        <v>0</v>
      </c>
    </row>
    <row customHeight="1" ht="14.699999999999998">
      <c r="Q23" s="383"/>
      <c r="R23" s="383"/>
      <c r="S23" s="1282"/>
      <c r="T23" s="370"/>
      <c r="U23" s="370"/>
      <c r="V23" s="516"/>
      <c r="W23" s="1642"/>
      <c r="X23" s="1642"/>
      <c r="Y23" s="1642"/>
      <c r="Z23" s="1642"/>
      <c r="AA23" s="1642"/>
      <c r="AB23" s="1642"/>
      <c r="AC23" s="516"/>
      <c r="AD23" s="516"/>
      <c r="AE23" s="516"/>
      <c r="AF23" s="516"/>
      <c r="AG23" s="516"/>
      <c r="AH23" s="1642"/>
      <c r="AI23" s="1642"/>
      <c r="AJ23" s="1642"/>
      <c r="AK23" s="1642"/>
      <c r="AL23" s="1642"/>
      <c r="AM23" s="516"/>
      <c r="AN23" s="516"/>
      <c r="AO23" s="516"/>
      <c r="AP23" s="516"/>
      <c r="AQ23" s="516"/>
      <c r="AY23" s="1162">
        <v>14</v>
      </c>
    </row>
    <row customHeight="1" ht="26.25">
      <c r="Q24" s="383"/>
      <c r="R24" s="383"/>
      <c r="S24" s="2255"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5"/>
      <c r="U24" s="2255"/>
      <c r="V24" s="2255"/>
      <c r="W24" s="2255"/>
      <c r="X24" s="2255"/>
      <c r="Y24" s="2255"/>
      <c r="Z24" s="2255"/>
      <c r="AA24" s="2255"/>
      <c r="AB24" s="2255"/>
      <c r="AC24" s="2255"/>
      <c r="AD24" s="2255"/>
      <c r="AE24" s="2255"/>
      <c r="AF24" s="2255"/>
      <c r="AG24" s="2255"/>
      <c r="AH24" s="2255"/>
      <c r="AI24" s="2255"/>
      <c r="AJ24" s="2255"/>
      <c r="AK24" s="2255"/>
      <c r="AL24" s="2255"/>
      <c r="AM24" s="2255"/>
      <c r="AN24" s="2255"/>
      <c r="AO24" s="2255"/>
      <c r="AP24" s="2255"/>
      <c r="AQ24" s="1250"/>
      <c r="AY24" s="1162">
        <v>25</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2256"/>
      <c r="AJ25" s="2256"/>
      <c r="AK25" s="2256"/>
      <c r="AL25" s="2256"/>
      <c r="AM25" s="2256"/>
      <c r="AN25" s="2256"/>
      <c r="AO25" s="2256"/>
      <c r="AP25" s="2256"/>
      <c r="AQ25" s="1250"/>
      <c r="AY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329"/>
      <c r="AK26" s="329"/>
      <c r="AL26" s="329"/>
      <c r="AM26" s="329"/>
      <c r="AN26" s="329"/>
      <c r="AO26" s="329"/>
      <c r="AP26" s="329"/>
      <c r="AQ26" s="329"/>
      <c r="AR26" s="516"/>
      <c r="AY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2258"/>
      <c r="AC27" s="2258"/>
      <c r="AD27" s="2258"/>
      <c r="AE27" s="2258"/>
      <c r="AF27" s="333"/>
      <c r="AG27" s="2258" t="str">
        <f>IF(TITLE_NAME_OR_PR_CHANGE="",IF(TITLE_NAME_OR_PR="","",TITLE_NAME_OR_PR),TITLE_NAME_OR_PR_CHANGE)</f>
        <v/>
      </c>
      <c r="AH27" s="2258"/>
      <c r="AI27" s="2258"/>
      <c r="AJ27" s="2258"/>
      <c r="AK27" s="2258"/>
      <c r="AL27" s="2258"/>
      <c r="AM27" s="2258"/>
      <c r="AN27" s="2258"/>
      <c r="AO27" s="2258"/>
      <c r="AP27" s="2258"/>
      <c r="AQ27" s="333"/>
      <c r="AR27" s="333"/>
      <c r="AS27" s="287"/>
      <c r="AT27" s="375"/>
      <c r="AU27" s="375"/>
      <c r="AV27" s="375"/>
      <c r="AW27" s="375"/>
      <c r="AX27" s="375"/>
      <c r="AY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2271"/>
      <c r="AC28" s="2271"/>
      <c r="AD28" s="2271"/>
      <c r="AE28" s="2271"/>
      <c r="AF28" s="333"/>
      <c r="AG28" s="2271" t="str">
        <f>IF(TITLE_DATE_PR_CHANGE="",IF(TITLE_DATE_PR="","",TITLE_DATE_PR),TITLE_DATE_PR_CHANGE)</f>
        <v>45432</v>
      </c>
      <c r="AH28" s="2271"/>
      <c r="AI28" s="2271"/>
      <c r="AJ28" s="2271"/>
      <c r="AK28" s="2271"/>
      <c r="AL28" s="2271"/>
      <c r="AM28" s="2271"/>
      <c r="AN28" s="2271"/>
      <c r="AO28" s="2271"/>
      <c r="AP28" s="2271"/>
      <c r="AQ28" s="333"/>
      <c r="AR28" s="333"/>
      <c r="AS28" s="287"/>
      <c r="AT28" s="375"/>
      <c r="AU28" s="375"/>
      <c r="AV28" s="375"/>
      <c r="AW28" s="375"/>
      <c r="AX28" s="375"/>
      <c r="AY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2258"/>
      <c r="AC29" s="2258"/>
      <c r="AD29" s="2258"/>
      <c r="AE29" s="2258"/>
      <c r="AF29" s="333"/>
      <c r="AG29" s="2258" t="str">
        <f>IF(TITLE_NUMBER_PR_CHANGE="",IF(TITLE_NUMBER_PR="","",TITLE_NUMBER_PR),TITLE_NUMBER_PR_CHANGE)</f>
        <v>29-12/1427</v>
      </c>
      <c r="AH29" s="2258"/>
      <c r="AI29" s="2258"/>
      <c r="AJ29" s="2258"/>
      <c r="AK29" s="2258"/>
      <c r="AL29" s="2258"/>
      <c r="AM29" s="2258"/>
      <c r="AN29" s="2258"/>
      <c r="AO29" s="2258"/>
      <c r="AP29" s="2258"/>
      <c r="AQ29" s="333"/>
      <c r="AR29" s="333"/>
      <c r="AS29" s="287"/>
      <c r="AT29" s="375"/>
      <c r="AU29" s="375"/>
      <c r="AV29" s="375"/>
      <c r="AW29" s="375"/>
      <c r="AX29" s="375"/>
      <c r="AY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2258"/>
      <c r="AC30" s="2258"/>
      <c r="AD30" s="2258"/>
      <c r="AE30" s="2258"/>
      <c r="AF30" s="333"/>
      <c r="AG30" s="2258" t="str">
        <f>IF(TITLE_IST_PUB_CHANGE="",IF(TITLE_IST_PUB="","",TITLE_IST_PUB),TITLE_IST_PUB_CHANGE)</f>
        <v/>
      </c>
      <c r="AH30" s="2258"/>
      <c r="AI30" s="2258"/>
      <c r="AJ30" s="2258"/>
      <c r="AK30" s="2258"/>
      <c r="AL30" s="2258"/>
      <c r="AM30" s="2258"/>
      <c r="AN30" s="2258"/>
      <c r="AO30" s="2258"/>
      <c r="AP30" s="2258"/>
      <c r="AQ30" s="333"/>
      <c r="AR30" s="333"/>
      <c r="AS30" s="287"/>
      <c r="AT30" s="375"/>
      <c r="AU30" s="375"/>
      <c r="AV30" s="375"/>
      <c r="AW30" s="375"/>
      <c r="AX30" s="375"/>
      <c r="AY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329"/>
      <c r="AK31" s="329"/>
      <c r="AL31" s="329"/>
      <c r="AM31" s="329"/>
      <c r="AN31" s="329"/>
      <c r="AO31" s="329"/>
      <c r="AP31" s="329"/>
      <c r="AQ31" s="329"/>
      <c r="AR31" s="516"/>
      <c r="AY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2271"/>
      <c r="AC32" s="2271"/>
      <c r="AD32" s="2271"/>
      <c r="AE32" s="2271"/>
      <c r="AF32" s="333"/>
      <c r="AG32" s="2271" t="str">
        <f>IF(TITLE_DATE_PR_CHANGE="",IF(TITLE_DATE_PR="","",TITLE_DATE_PR),TITLE_DATE_PR_CHANGE)</f>
        <v>45432</v>
      </c>
      <c r="AH32" s="2271"/>
      <c r="AI32" s="2271"/>
      <c r="AJ32" s="2271"/>
      <c r="AK32" s="2271"/>
      <c r="AL32" s="2271"/>
      <c r="AM32" s="2271"/>
      <c r="AN32" s="2271"/>
      <c r="AO32" s="2271"/>
      <c r="AP32" s="2271"/>
      <c r="AQ32" s="333"/>
      <c r="AR32" s="333"/>
      <c r="AS32" s="287"/>
      <c r="AT32" s="375"/>
      <c r="AU32" s="375"/>
      <c r="AV32" s="375"/>
      <c r="AW32" s="375"/>
      <c r="AX32" s="375"/>
      <c r="AY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2258"/>
      <c r="AC33" s="2258"/>
      <c r="AD33" s="2258"/>
      <c r="AE33" s="2258"/>
      <c r="AF33" s="333"/>
      <c r="AG33" s="2258" t="str">
        <f>IF(TITLE_NUMBER_PR_CHANGE="",IF(TITLE_NUMBER_PR="","",TITLE_NUMBER_PR),TITLE_NUMBER_PR_CHANGE)</f>
        <v>29-12/1427</v>
      </c>
      <c r="AH33" s="2258"/>
      <c r="AI33" s="2258"/>
      <c r="AJ33" s="2258"/>
      <c r="AK33" s="2258"/>
      <c r="AL33" s="2258"/>
      <c r="AM33" s="2258"/>
      <c r="AN33" s="2258"/>
      <c r="AO33" s="2258"/>
      <c r="AP33" s="2258"/>
      <c r="AQ33" s="333"/>
      <c r="AR33" s="333"/>
      <c r="AS33" s="287"/>
      <c r="AT33" s="375"/>
      <c r="AU33" s="375"/>
      <c r="AV33" s="375"/>
      <c r="AW33" s="375"/>
      <c r="AX33" s="375"/>
      <c r="AY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95"/>
      <c r="V34" s="333"/>
      <c r="W34" s="1642"/>
      <c r="X34" s="1642"/>
      <c r="Y34" s="1642"/>
      <c r="Z34" s="1642"/>
      <c r="AA34" s="1642"/>
      <c r="AB34" s="1642"/>
      <c r="AC34" s="333"/>
      <c r="AD34" s="333"/>
      <c r="AE34" s="333"/>
      <c r="AF34" s="285" t="s">
        <v>588</v>
      </c>
      <c r="AG34" s="333"/>
      <c r="AH34" s="1642"/>
      <c r="AI34" s="1642"/>
      <c r="AJ34" s="1642"/>
      <c r="AK34" s="1642"/>
      <c r="AL34" s="1642"/>
      <c r="AM34" s="333"/>
      <c r="AN34" s="333"/>
      <c r="AO34" s="333"/>
      <c r="AP34" s="333"/>
      <c r="AQ34" s="285" t="s">
        <v>588</v>
      </c>
      <c r="AT34" s="375"/>
      <c r="AU34" s="375"/>
      <c r="AV34" s="375"/>
      <c r="AW34" s="375"/>
      <c r="AX34" s="375"/>
      <c r="AY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J35" s="2259"/>
      <c r="AK35" s="2259"/>
      <c r="AL35" s="2259"/>
      <c r="AM35" s="2259"/>
      <c r="AN35" s="2259"/>
      <c r="AO35" s="2259"/>
      <c r="AP35" s="2259"/>
      <c r="AQ35" s="2259"/>
      <c r="AY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c r="AL36" s="2134"/>
      <c r="AM36" s="2134"/>
      <c r="AN36" s="2134"/>
      <c r="AO36" s="2134"/>
      <c r="AP36" s="2134"/>
      <c r="AQ36" s="2134"/>
      <c r="AR36" s="2134"/>
      <c r="AS36" s="2134" t="s">
        <v>464</v>
      </c>
      <c r="AY36" s="1162">
        <v>14</v>
      </c>
    </row>
    <row customHeight="1" ht="14.699999999999998">
      <c r="Q37" s="383"/>
      <c r="R37" s="383"/>
      <c r="S37" s="2280" t="s">
        <v>88</v>
      </c>
      <c r="T37" s="2216" t="s">
        <v>589</v>
      </c>
      <c r="U37" s="308"/>
      <c r="V37" s="2281" t="s">
        <v>590</v>
      </c>
      <c r="W37" s="2298"/>
      <c r="X37" s="2298"/>
      <c r="Y37" s="2298"/>
      <c r="Z37" s="2298"/>
      <c r="AA37" s="2298"/>
      <c r="AB37" s="2298"/>
      <c r="AC37" s="2282"/>
      <c r="AD37" s="2282"/>
      <c r="AE37" s="2283"/>
      <c r="AF37" s="2284" t="s">
        <v>591</v>
      </c>
      <c r="AG37" s="2281" t="s">
        <v>590</v>
      </c>
      <c r="AH37" s="2282"/>
      <c r="AI37" s="2282"/>
      <c r="AJ37" s="2282"/>
      <c r="AK37" s="2282"/>
      <c r="AL37" s="2282"/>
      <c r="AM37" s="2282"/>
      <c r="AN37" s="2282"/>
      <c r="AO37" s="2282"/>
      <c r="AP37" s="2283"/>
      <c r="AQ37" s="2284" t="s">
        <v>592</v>
      </c>
      <c r="AR37" s="2287" t="s">
        <v>593</v>
      </c>
      <c r="AS37" s="2134"/>
      <c r="AY37" s="1162">
        <v>14</v>
      </c>
    </row>
    <row customHeight="1" ht="19.95">
      <c r="Q38" s="383"/>
      <c r="R38" s="383"/>
      <c r="S38" s="2280"/>
      <c r="T38" s="2216"/>
      <c r="U38" s="1038"/>
      <c r="V38" s="2373" t="s">
        <v>694</v>
      </c>
      <c r="W38" s="2372" t="s">
        <v>695</v>
      </c>
      <c r="X38" s="2372"/>
      <c r="Y38" s="2372"/>
      <c r="Z38" s="2372" t="s">
        <v>696</v>
      </c>
      <c r="AA38" s="2372"/>
      <c r="AB38" s="2372"/>
      <c r="AC38" s="2301" t="s">
        <v>597</v>
      </c>
      <c r="AD38" s="2320"/>
      <c r="AE38" s="2321"/>
      <c r="AF38" s="2285"/>
      <c r="AG38" s="2373" t="s">
        <v>694</v>
      </c>
      <c r="AH38" s="2372" t="s">
        <v>695</v>
      </c>
      <c r="AI38" s="2372"/>
      <c r="AJ38" s="2372"/>
      <c r="AK38" s="2372" t="s">
        <v>696</v>
      </c>
      <c r="AL38" s="2372"/>
      <c r="AM38" s="2372"/>
      <c r="AN38" s="2301" t="s">
        <v>597</v>
      </c>
      <c r="AO38" s="2320"/>
      <c r="AP38" s="2321"/>
      <c r="AQ38" s="2285"/>
      <c r="AR38" s="2288"/>
      <c r="AS38" s="2134"/>
      <c r="AY38" s="1162">
        <v>19</v>
      </c>
    </row>
    <row s="1642" customFormat="1" customHeight="1" ht="19.95">
      <c r="A39" s="1373"/>
      <c r="B39" s="1373"/>
      <c r="C39" s="1373"/>
      <c r="D39" s="1373"/>
      <c r="E39" s="1373"/>
      <c r="F39" s="1373"/>
      <c r="G39" s="1373"/>
      <c r="H39" s="1373"/>
      <c r="I39" s="1373"/>
      <c r="J39" s="1373"/>
      <c r="K39" s="1373"/>
      <c r="L39" s="1958"/>
      <c r="M39" s="1369"/>
      <c r="N39" s="1369"/>
      <c r="O39" s="1369"/>
      <c r="P39" s="1972"/>
      <c r="Q39" s="383"/>
      <c r="R39" s="383"/>
      <c r="S39" s="2280"/>
      <c r="T39" s="2216"/>
      <c r="U39" s="1038"/>
      <c r="V39" s="2373"/>
      <c r="W39" s="2372" t="s">
        <v>697</v>
      </c>
      <c r="X39" s="2372" t="s">
        <v>698</v>
      </c>
      <c r="Y39" s="2372"/>
      <c r="Z39" s="2372" t="s">
        <v>699</v>
      </c>
      <c r="AA39" s="2372" t="s">
        <v>698</v>
      </c>
      <c r="AB39" s="2372"/>
      <c r="AC39" s="2302"/>
      <c r="AD39" s="2322"/>
      <c r="AE39" s="2323"/>
      <c r="AF39" s="2285"/>
      <c r="AG39" s="2373"/>
      <c r="AH39" s="2372" t="s">
        <v>697</v>
      </c>
      <c r="AI39" s="2372" t="s">
        <v>698</v>
      </c>
      <c r="AJ39" s="2372"/>
      <c r="AK39" s="2372" t="s">
        <v>699</v>
      </c>
      <c r="AL39" s="2372" t="s">
        <v>698</v>
      </c>
      <c r="AM39" s="2372"/>
      <c r="AN39" s="2302"/>
      <c r="AO39" s="2322"/>
      <c r="AP39" s="2323"/>
      <c r="AQ39" s="2285"/>
      <c r="AR39" s="2288"/>
      <c r="AS39" s="2134"/>
      <c r="AT39" s="1643"/>
      <c r="AU39" s="1643"/>
      <c r="AV39" s="1643"/>
      <c r="AW39" s="1643"/>
      <c r="AX39" s="1643"/>
      <c r="AY39" s="1638">
        <v>19</v>
      </c>
    </row>
    <row customHeight="1" ht="61.949999999999996">
      <c r="A40" s="1377"/>
      <c r="B40" s="1377" t="s">
        <v>227</v>
      </c>
      <c r="C40" s="1377" t="s">
        <v>228</v>
      </c>
      <c r="D40" s="1377" t="s">
        <v>229</v>
      </c>
      <c r="E40" s="1371" t="s">
        <v>598</v>
      </c>
      <c r="F40" s="1371" t="s">
        <v>599</v>
      </c>
      <c r="G40" s="1371" t="s">
        <v>600</v>
      </c>
      <c r="H40" s="1371"/>
      <c r="I40" s="1371" t="s">
        <v>650</v>
      </c>
      <c r="J40" s="1371" t="s">
        <v>603</v>
      </c>
      <c r="K40" s="1371" t="s">
        <v>651</v>
      </c>
      <c r="L40" s="1371" t="s">
        <v>579</v>
      </c>
      <c r="Q40" s="383"/>
      <c r="R40" s="383"/>
      <c r="S40" s="2280"/>
      <c r="T40" s="2216"/>
      <c r="U40" s="309"/>
      <c r="V40" s="2373"/>
      <c r="W40" s="2372"/>
      <c r="X40" s="1990" t="s">
        <v>700</v>
      </c>
      <c r="Y40" s="1990" t="s">
        <v>701</v>
      </c>
      <c r="Z40" s="2372"/>
      <c r="AA40" s="1990" t="s">
        <v>702</v>
      </c>
      <c r="AB40" s="1990" t="s">
        <v>703</v>
      </c>
      <c r="AC40" s="1496" t="s">
        <v>607</v>
      </c>
      <c r="AD40" s="2277" t="s">
        <v>608</v>
      </c>
      <c r="AE40" s="2278"/>
      <c r="AF40" s="2286"/>
      <c r="AG40" s="2373"/>
      <c r="AH40" s="2372"/>
      <c r="AI40" s="1990" t="s">
        <v>700</v>
      </c>
      <c r="AJ40" s="1990" t="s">
        <v>701</v>
      </c>
      <c r="AK40" s="2372"/>
      <c r="AL40" s="1990" t="s">
        <v>702</v>
      </c>
      <c r="AM40" s="1990" t="s">
        <v>703</v>
      </c>
      <c r="AN40" s="1496" t="s">
        <v>607</v>
      </c>
      <c r="AO40" s="2277" t="s">
        <v>608</v>
      </c>
      <c r="AP40" s="2278"/>
      <c r="AQ40" s="2286"/>
      <c r="AR40" s="2289"/>
      <c r="AS40" s="2134"/>
      <c r="AY40" s="1162">
        <v>59</v>
      </c>
    </row>
    <row s="1648" customFormat="1" customHeight="1" ht="11.25" hidden="1">
      <c r="A41" s="1377"/>
      <c r="B41" s="1377"/>
      <c r="C41" s="1377"/>
      <c r="D41" s="1377"/>
      <c r="E41" s="1377"/>
      <c r="F41" s="1377"/>
      <c r="G41" s="1377"/>
      <c r="H41" s="1377"/>
      <c r="I41" s="1377"/>
      <c r="J41" s="1377"/>
      <c r="K41" s="1377"/>
      <c r="L41" s="1371"/>
      <c r="M41" s="1369"/>
      <c r="N41" s="1369"/>
      <c r="O41" s="1369"/>
      <c r="P41" s="1253"/>
      <c r="Q41" s="1254"/>
      <c r="R41" s="1261">
        <v>1</v>
      </c>
      <c r="S41" s="1284" t="s">
        <v>108</v>
      </c>
      <c r="T41" s="1262" t="s">
        <v>99</v>
      </c>
      <c r="U41" s="1252" t="str">
        <f>OFFSET(U41,0,-1)</f>
        <v>2</v>
      </c>
      <c r="V41" s="1489">
        <f>OFFSET(V41,0,-1)+1</f>
        <v>3</v>
      </c>
      <c r="W41" s="1348"/>
      <c r="X41" s="1348"/>
      <c r="Y41" s="1348"/>
      <c r="Z41" s="1348"/>
      <c r="AA41" s="1348"/>
      <c r="AB41" s="1348"/>
      <c r="AC41" s="1489">
        <f>OFFSET(AC41,0,-1)+1</f>
        <v>1</v>
      </c>
      <c r="AD41" s="2279">
        <f>OFFSET(AD41,0,-1)+1</f>
        <v>2</v>
      </c>
      <c r="AE41" s="2279"/>
      <c r="AF41" s="1489">
        <f>OFFSET(AF41,0,-2)+1</f>
        <v>3</v>
      </c>
      <c r="AG41" s="1489">
        <f>OFFSET(AG41,0,-1)+1</f>
        <v>4</v>
      </c>
      <c r="AH41" s="1963"/>
      <c r="AI41" s="1963"/>
      <c r="AJ41" s="1963"/>
      <c r="AK41" s="1963"/>
      <c r="AL41" s="1963"/>
      <c r="AM41" s="1489">
        <f>OFFSET(AM41,0,-1)+1</f>
        <v>1</v>
      </c>
      <c r="AN41" s="1489">
        <f>OFFSET(AN41,0,-1)+1</f>
        <v>2</v>
      </c>
      <c r="AO41" s="2279">
        <f>OFFSET(AO41,0,-1)+1</f>
        <v>3</v>
      </c>
      <c r="AP41" s="2279"/>
      <c r="AQ41" s="1489">
        <f>OFFSET(AQ41,0,-2)+1</f>
        <v>4</v>
      </c>
      <c r="AR41" s="1252">
        <f>OFFSET(AR41,0,-1)</f>
        <v>4</v>
      </c>
      <c r="AS41" s="1489">
        <f>OFFSET(AS41,0,-1)+1</f>
        <v>5</v>
      </c>
      <c r="AT41" s="518"/>
      <c r="AU41" s="518"/>
      <c r="AV41" s="518"/>
      <c r="AW41" s="518"/>
      <c r="AX41" s="518"/>
      <c r="AY41" s="503">
        <v>0</v>
      </c>
    </row>
    <row customHeight="1" ht="24">
      <c r="A42" s="1370" t="s">
        <v>414</v>
      </c>
      <c r="B42" s="1370"/>
      <c r="C42" s="1370"/>
      <c r="D42" s="1370"/>
      <c r="E42" s="2265">
        <v>1</v>
      </c>
      <c r="F42" s="1370"/>
      <c r="G42" s="1370"/>
      <c r="H42" s="1370"/>
      <c r="I42" s="1370"/>
      <c r="J42" s="1370"/>
      <c r="K42" s="1370"/>
      <c r="L42" s="1371"/>
      <c r="M42" s="1372"/>
      <c r="N42" s="1372"/>
      <c r="O42" s="1372"/>
      <c r="P42" s="368"/>
      <c r="Q42" s="367"/>
      <c r="R42" s="362"/>
      <c r="S42" s="1500">
        <f>INDEX(PT_DIFFERENTIATION_NUM_NTAR,MATCH(A42,PT_DIFFERENTIATION_NTAR_ID,0))</f>
        <v>0</v>
      </c>
      <c r="T42" s="305" t="s">
        <v>215</v>
      </c>
      <c r="U42" s="307"/>
      <c r="V42" s="2249"/>
      <c r="W42" s="2250"/>
      <c r="X42" s="2250"/>
      <c r="Y42" s="2250"/>
      <c r="Z42" s="2250"/>
      <c r="AA42" s="2250"/>
      <c r="AB42" s="2250"/>
      <c r="AC42" s="2250"/>
      <c r="AD42" s="2250"/>
      <c r="AE42" s="2250"/>
      <c r="AF42" s="2251"/>
      <c r="AG42" s="2249" t="str">
        <f>INDEX(PT_DIFFERENTIATION_NTAR,MATCH(A42,PT_DIFFERENTIATION_NTAR_ID,0))</f>
        <v/>
      </c>
      <c r="AH42" s="2250"/>
      <c r="AI42" s="2250"/>
      <c r="AJ42" s="2250"/>
      <c r="AK42" s="2250"/>
      <c r="AL42" s="2250"/>
      <c r="AM42" s="2250"/>
      <c r="AN42" s="2250"/>
      <c r="AO42" s="2250"/>
      <c r="AP42" s="2250"/>
      <c r="AQ42" s="2250"/>
      <c r="AR42" s="2251"/>
      <c r="AS4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7"/>
      <c r="AV42" s="507" t="str">
        <f>IF(T42="","",T42)</f>
        <v>Наименование тарифа</v>
      </c>
      <c r="AW42" s="507"/>
      <c r="AX42" s="507"/>
      <c r="AY42" s="1162">
        <v>23</v>
      </c>
    </row>
    <row customHeight="1" ht="24">
      <c r="A43" s="1370" t="s">
        <v>414</v>
      </c>
      <c r="B43" s="1370" t="s">
        <v>415</v>
      </c>
      <c r="C43" s="1370"/>
      <c r="D43" s="1370"/>
      <c r="E43" s="2266"/>
      <c r="F43" s="2265">
        <v>1</v>
      </c>
      <c r="G43" s="1370"/>
      <c r="H43" s="1370"/>
      <c r="I43" s="1370"/>
      <c r="J43" s="1370"/>
      <c r="K43" s="1370"/>
      <c r="L43" s="1371"/>
      <c r="M43" s="1372"/>
      <c r="N43" s="1372"/>
      <c r="O43" s="1372"/>
      <c r="P43" s="1494"/>
      <c r="Q43" s="359"/>
      <c r="R43" s="360"/>
      <c r="S43" s="1500" t="str">
        <f>INDEX(PT_DIFFERENTIATION_NUM_TER,MATCH(B43,PT_DIFFERENTIATION_TER_ID,0))</f>
        <v>.</v>
      </c>
      <c r="T43" s="315" t="s">
        <v>560</v>
      </c>
      <c r="U43" s="307"/>
      <c r="V43" s="2249"/>
      <c r="W43" s="2250"/>
      <c r="X43" s="2250"/>
      <c r="Y43" s="2250"/>
      <c r="Z43" s="2250"/>
      <c r="AA43" s="2250"/>
      <c r="AB43" s="2250"/>
      <c r="AC43" s="2250"/>
      <c r="AD43" s="2250"/>
      <c r="AE43" s="2250"/>
      <c r="AF43" s="2251"/>
      <c r="AG43" s="2249" t="str">
        <f>INDEX(PT_DIFFERENTIATION_TER,MATCH(B43,PT_DIFFERENTIATION_TER_ID,0))</f>
        <v/>
      </c>
      <c r="AH43" s="2250"/>
      <c r="AI43" s="2250"/>
      <c r="AJ43" s="2250"/>
      <c r="AK43" s="2250"/>
      <c r="AL43" s="2250"/>
      <c r="AM43" s="2250"/>
      <c r="AN43" s="2250"/>
      <c r="AO43" s="2250"/>
      <c r="AP43" s="2250"/>
      <c r="AQ43" s="2250"/>
      <c r="AR43" s="2251"/>
      <c r="AS43" s="1265" t="s">
        <v>561</v>
      </c>
      <c r="AU43" s="507"/>
      <c r="AV43" s="507" t="str">
        <f>IF(T43="","",T43)</f>
        <v>Территория действия тарифа</v>
      </c>
      <c r="AW43" s="507"/>
      <c r="AX43" s="507"/>
      <c r="AY43" s="1162">
        <v>23</v>
      </c>
    </row>
    <row customHeight="1" ht="24">
      <c r="A44" s="1370" t="s">
        <v>414</v>
      </c>
      <c r="B44" s="1370" t="s">
        <v>415</v>
      </c>
      <c r="C44" s="1370" t="s">
        <v>416</v>
      </c>
      <c r="D44" s="1370"/>
      <c r="E44" s="2266"/>
      <c r="F44" s="2266"/>
      <c r="G44" s="2265">
        <v>1</v>
      </c>
      <c r="H44" s="1370"/>
      <c r="I44" s="1370"/>
      <c r="J44" s="1370"/>
      <c r="K44" s="1370"/>
      <c r="L44" s="1371"/>
      <c r="M44" s="1372"/>
      <c r="N44" s="1372"/>
      <c r="O44" s="1372"/>
      <c r="P44" s="361"/>
      <c r="Q44" s="359"/>
      <c r="R44" s="360"/>
      <c r="S44" s="1500" t="str">
        <f>INDEX(PT_DIFFERENTIATION_NUM_CS,MATCH(C44,PT_DIFFERENTIATION_CS_ID,0))</f>
        <v>..</v>
      </c>
      <c r="T44" s="316" t="s">
        <v>692</v>
      </c>
      <c r="U44" s="307"/>
      <c r="V44" s="2249"/>
      <c r="W44" s="2250"/>
      <c r="X44" s="2250"/>
      <c r="Y44" s="2250"/>
      <c r="Z44" s="2250"/>
      <c r="AA44" s="2250"/>
      <c r="AB44" s="2250"/>
      <c r="AC44" s="2250"/>
      <c r="AD44" s="2250"/>
      <c r="AE44" s="2250"/>
      <c r="AF44" s="2251"/>
      <c r="AG44" s="2249" t="str">
        <f>INDEX(PT_DIFFERENTIATION_CS,MATCH(C44,PT_DIFFERENTIATION_CS_ID,0))</f>
        <v/>
      </c>
      <c r="AH44" s="2250"/>
      <c r="AI44" s="2250"/>
      <c r="AJ44" s="2250"/>
      <c r="AK44" s="2250"/>
      <c r="AL44" s="2250"/>
      <c r="AM44" s="2250"/>
      <c r="AN44" s="2250"/>
      <c r="AO44" s="2250"/>
      <c r="AP44" s="2250"/>
      <c r="AQ44" s="2250"/>
      <c r="AR44" s="2251"/>
      <c r="AS44" s="1265" t="s">
        <v>693</v>
      </c>
      <c r="AU44" s="507"/>
      <c r="AV44" s="507" t="str">
        <f>IF(T44="","",T44)</f>
        <v>Наименование централизованной системы горячего водоснабжения</v>
      </c>
      <c r="AW44" s="507"/>
      <c r="AX44" s="507"/>
      <c r="AY44" s="1162">
        <v>23</v>
      </c>
    </row>
    <row customHeight="1" ht="24">
      <c r="A45" s="1370" t="s">
        <v>414</v>
      </c>
      <c r="B45" s="1370" t="s">
        <v>415</v>
      </c>
      <c r="C45" s="1370" t="s">
        <v>416</v>
      </c>
      <c r="D45" s="1370" t="s">
        <v>704</v>
      </c>
      <c r="E45" s="2266"/>
      <c r="F45" s="2266"/>
      <c r="G45" s="2266"/>
      <c r="H45" s="2266"/>
      <c r="I45" s="2263" t="str">
        <f>S44&amp;".1"</f>
        <v>...1</v>
      </c>
      <c r="J45" s="1370"/>
      <c r="K45" s="1370"/>
      <c r="L45" s="1371"/>
      <c r="P45" s="2264">
        <v>1</v>
      </c>
      <c r="Q45" s="1488"/>
      <c r="R45" s="363"/>
      <c r="S45" s="1500" t="str">
        <f>$I45</f>
        <v>...1</v>
      </c>
      <c r="T45" s="292" t="s">
        <v>643</v>
      </c>
      <c r="U45" s="307"/>
      <c r="V45" s="2357"/>
      <c r="W45" s="2358"/>
      <c r="X45" s="2358"/>
      <c r="Y45" s="2358"/>
      <c r="Z45" s="2358"/>
      <c r="AA45" s="2358"/>
      <c r="AB45" s="2358"/>
      <c r="AC45" s="2358"/>
      <c r="AD45" s="2358"/>
      <c r="AE45" s="2358"/>
      <c r="AF45" s="2359"/>
      <c r="AG45" s="2360"/>
      <c r="AH45" s="2361"/>
      <c r="AI45" s="2361"/>
      <c r="AJ45" s="2361"/>
      <c r="AK45" s="2361"/>
      <c r="AL45" s="2361"/>
      <c r="AM45" s="2361"/>
      <c r="AN45" s="2361"/>
      <c r="AO45" s="2361"/>
      <c r="AP45" s="2361"/>
      <c r="AQ45" s="2361"/>
      <c r="AR45" s="2362"/>
      <c r="AS45" s="1265" t="s">
        <v>644</v>
      </c>
      <c r="AU45" s="507"/>
      <c r="AV45" s="507" t="str">
        <f>IF(T45="","",T45)</f>
        <v>Наименование признака дифференциации</v>
      </c>
      <c r="AW45" s="507"/>
      <c r="AX45" s="507"/>
      <c r="AY45" s="1162">
        <v>23</v>
      </c>
    </row>
    <row customHeight="1" ht="24">
      <c r="A46" s="1370" t="s">
        <v>414</v>
      </c>
      <c r="B46" s="1370" t="s">
        <v>415</v>
      </c>
      <c r="C46" s="1370" t="s">
        <v>416</v>
      </c>
      <c r="D46" s="1370" t="s">
        <v>704</v>
      </c>
      <c r="E46" s="2266"/>
      <c r="F46" s="2266"/>
      <c r="G46" s="2266"/>
      <c r="H46" s="2266"/>
      <c r="I46" s="2293"/>
      <c r="J46" s="2263" t="str">
        <f>I45&amp;".1"</f>
        <v>...1.1</v>
      </c>
      <c r="K46" s="1370"/>
      <c r="L46" s="1371" t="s">
        <v>569</v>
      </c>
      <c r="P46" s="2264"/>
      <c r="Q46" s="2264">
        <v>1</v>
      </c>
      <c r="R46" s="364"/>
      <c r="S46" s="1500" t="str">
        <f>$J46</f>
        <v>...1.1</v>
      </c>
      <c r="T46" s="293" t="s">
        <v>570</v>
      </c>
      <c r="U46" s="307"/>
      <c r="V46" s="2252"/>
      <c r="W46" s="2253"/>
      <c r="X46" s="2253"/>
      <c r="Y46" s="2253"/>
      <c r="Z46" s="2253"/>
      <c r="AA46" s="2253"/>
      <c r="AB46" s="2253"/>
      <c r="AC46" s="2253"/>
      <c r="AD46" s="2253"/>
      <c r="AE46" s="2253"/>
      <c r="AF46" s="2254"/>
      <c r="AG46" s="2252"/>
      <c r="AH46" s="2253"/>
      <c r="AI46" s="2253"/>
      <c r="AJ46" s="2253"/>
      <c r="AK46" s="2253"/>
      <c r="AL46" s="2253"/>
      <c r="AM46" s="2253"/>
      <c r="AN46" s="2253"/>
      <c r="AO46" s="2253"/>
      <c r="AP46" s="2253"/>
      <c r="AQ46" s="2253"/>
      <c r="AR46" s="2254"/>
      <c r="AS46" s="1314" t="s">
        <v>645</v>
      </c>
      <c r="AU46" s="507"/>
      <c r="AV46" s="507" t="str">
        <f>IF(T46="","",T46)</f>
        <v>Группа потребителей</v>
      </c>
      <c r="AW46" s="507"/>
      <c r="AX46" s="507"/>
      <c r="AY46" s="1162">
        <v>23</v>
      </c>
    </row>
    <row customHeight="1" ht="24">
      <c r="A47" s="1370" t="s">
        <v>414</v>
      </c>
      <c r="B47" s="1370" t="s">
        <v>415</v>
      </c>
      <c r="C47" s="1370" t="s">
        <v>416</v>
      </c>
      <c r="D47" s="1370" t="s">
        <v>704</v>
      </c>
      <c r="E47" s="2266"/>
      <c r="F47" s="2266"/>
      <c r="G47" s="2266"/>
      <c r="H47" s="2266"/>
      <c r="I47" s="2293"/>
      <c r="J47" s="2293"/>
      <c r="K47" s="2263" t="str">
        <f>J46&amp;".1"</f>
        <v>...1.1.1</v>
      </c>
      <c r="L47" s="1371"/>
      <c r="P47" s="2264"/>
      <c r="Q47" s="2264"/>
      <c r="R47" s="364">
        <v>1</v>
      </c>
      <c r="S47" s="1500" t="str">
        <f>$K47</f>
        <v>...1.1.1</v>
      </c>
      <c r="T47" s="1444"/>
      <c r="U47" s="307"/>
      <c r="V47" s="758"/>
      <c r="W47" s="758"/>
      <c r="X47" s="758"/>
      <c r="Y47" s="758"/>
      <c r="Z47" s="758"/>
      <c r="AA47" s="758"/>
      <c r="AB47" s="758"/>
      <c r="AC47" s="2274"/>
      <c r="AD47" s="2275" t="s">
        <v>66</v>
      </c>
      <c r="AE47" s="2274"/>
      <c r="AF47" s="2275" t="s">
        <v>66</v>
      </c>
      <c r="AG47" s="758"/>
      <c r="AH47" s="758"/>
      <c r="AI47" s="758"/>
      <c r="AJ47" s="758"/>
      <c r="AK47" s="758"/>
      <c r="AL47" s="758"/>
      <c r="AM47" s="758"/>
      <c r="AN47" s="2272"/>
      <c r="AO47" s="2114" t="s">
        <v>66</v>
      </c>
      <c r="AP47" s="2294"/>
      <c r="AQ47" s="2114" t="s">
        <v>19</v>
      </c>
      <c r="AR47" s="1445"/>
      <c r="AS4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8">
        <f>STRCHECKDATE(V48:AR48)</f>
      </c>
      <c r="AU47" s="507"/>
      <c r="AV47" s="507" t="str">
        <f>IF(T47="","",T47)</f>
        <v/>
      </c>
      <c r="AW47" s="507"/>
      <c r="AX47" s="507"/>
      <c r="AY47" s="1162">
        <v>23</v>
      </c>
    </row>
    <row customHeight="1" ht="0">
      <c r="A48" s="1370" t="s">
        <v>414</v>
      </c>
      <c r="B48" s="1370" t="s">
        <v>415</v>
      </c>
      <c r="C48" s="1370" t="s">
        <v>416</v>
      </c>
      <c r="D48" s="1370" t="s">
        <v>704</v>
      </c>
      <c r="E48" s="2266"/>
      <c r="F48" s="2266"/>
      <c r="G48" s="2266"/>
      <c r="H48" s="2266"/>
      <c r="I48" s="2293"/>
      <c r="J48" s="2293"/>
      <c r="K48" s="2263"/>
      <c r="L48" s="1371"/>
      <c r="P48" s="2264"/>
      <c r="Q48" s="2264"/>
      <c r="R48" s="364"/>
      <c r="S48" s="1497"/>
      <c r="T48" s="307"/>
      <c r="U48" s="307"/>
      <c r="V48" s="1367"/>
      <c r="W48" s="1367"/>
      <c r="X48" s="1367"/>
      <c r="Y48" s="1367"/>
      <c r="Z48" s="1367"/>
      <c r="AA48" s="1367"/>
      <c r="AB48" s="1367"/>
      <c r="AC48" s="2275"/>
      <c r="AD48" s="2275"/>
      <c r="AE48" s="2275"/>
      <c r="AF48" s="2275"/>
      <c r="AG48" s="332"/>
      <c r="AH48" s="332"/>
      <c r="AI48" s="332"/>
      <c r="AJ48" s="332"/>
      <c r="AK48" s="332"/>
      <c r="AL48" s="332"/>
      <c r="AM48" s="332"/>
      <c r="AN48" s="2273"/>
      <c r="AO48" s="2114"/>
      <c r="AP48" s="2295"/>
      <c r="AQ48" s="2114"/>
      <c r="AR48" s="1446"/>
      <c r="AS48" s="2356"/>
      <c r="AU48" s="507"/>
      <c r="AV48" s="507" t="str">
        <f>IF(T48="","",T48)</f>
        <v/>
      </c>
      <c r="AW48" s="507"/>
      <c r="AX48" s="507"/>
      <c r="AY48" s="1162">
        <v>0</v>
      </c>
    </row>
    <row customHeight="1" ht="21">
      <c r="A49" s="1370" t="s">
        <v>414</v>
      </c>
      <c r="B49" s="1370" t="s">
        <v>415</v>
      </c>
      <c r="C49" s="1370" t="s">
        <v>416</v>
      </c>
      <c r="D49" s="1370" t="s">
        <v>704</v>
      </c>
      <c r="E49" s="2266"/>
      <c r="F49" s="2266"/>
      <c r="G49" s="2266"/>
      <c r="H49" s="2266"/>
      <c r="I49" s="2293"/>
      <c r="J49" s="2263"/>
      <c r="K49" s="1370"/>
      <c r="L49" s="1371"/>
      <c r="P49" s="2264"/>
      <c r="Q49" s="2264"/>
      <c r="R49" s="363"/>
      <c r="S49" s="1285"/>
      <c r="T49" s="294" t="s">
        <v>646</v>
      </c>
      <c r="U49" s="374"/>
      <c r="V49" s="374"/>
      <c r="W49" s="607"/>
      <c r="X49" s="607"/>
      <c r="Y49" s="607"/>
      <c r="Z49" s="607"/>
      <c r="AA49" s="607"/>
      <c r="AB49" s="607"/>
      <c r="AC49" s="374"/>
      <c r="AD49" s="374"/>
      <c r="AE49" s="374"/>
      <c r="AF49" s="374"/>
      <c r="AG49" s="374"/>
      <c r="AH49" s="607"/>
      <c r="AI49" s="607"/>
      <c r="AJ49" s="607"/>
      <c r="AK49" s="607"/>
      <c r="AL49" s="607"/>
      <c r="AM49" s="374"/>
      <c r="AN49" s="374"/>
      <c r="AO49" s="374"/>
      <c r="AP49" s="374"/>
      <c r="AQ49" s="374"/>
      <c r="AR49" s="374"/>
      <c r="AS49" s="1265" t="s">
        <v>647</v>
      </c>
      <c r="AU49" s="507"/>
      <c r="AV49" s="507" t="str">
        <f>IF(T49="","",T49)</f>
        <v>Добавить значение признака дифференциации</v>
      </c>
      <c r="AW49" s="507"/>
      <c r="AX49" s="507"/>
      <c r="AY49" s="1162">
        <v>20</v>
      </c>
    </row>
    <row customHeight="1" ht="22.049999999999997">
      <c r="A50" s="1370" t="s">
        <v>414</v>
      </c>
      <c r="B50" s="1370" t="s">
        <v>415</v>
      </c>
      <c r="C50" s="1370" t="s">
        <v>416</v>
      </c>
      <c r="D50" s="1370" t="s">
        <v>704</v>
      </c>
      <c r="E50" s="2266"/>
      <c r="F50" s="2266"/>
      <c r="G50" s="2266"/>
      <c r="H50" s="2266"/>
      <c r="I50" s="2263"/>
      <c r="J50" s="1370"/>
      <c r="K50" s="1370"/>
      <c r="L50" s="1371"/>
      <c r="P50" s="2264"/>
      <c r="Q50" s="1488"/>
      <c r="R50" s="363"/>
      <c r="S50" s="1285"/>
      <c r="T50" s="372" t="s">
        <v>575</v>
      </c>
      <c r="U50" s="374"/>
      <c r="V50" s="374"/>
      <c r="W50" s="607"/>
      <c r="X50" s="607"/>
      <c r="Y50" s="607"/>
      <c r="Z50" s="607"/>
      <c r="AA50" s="607"/>
      <c r="AB50" s="607"/>
      <c r="AC50" s="374"/>
      <c r="AD50" s="374"/>
      <c r="AE50" s="374"/>
      <c r="AF50" s="373"/>
      <c r="AG50" s="374"/>
      <c r="AH50" s="607"/>
      <c r="AI50" s="607"/>
      <c r="AJ50" s="607"/>
      <c r="AK50" s="607"/>
      <c r="AL50" s="607"/>
      <c r="AM50" s="374"/>
      <c r="AN50" s="374"/>
      <c r="AO50" s="374"/>
      <c r="AP50" s="374"/>
      <c r="AQ50" s="373"/>
      <c r="AR50" s="374"/>
      <c r="AS50" s="1447"/>
      <c r="AU50" s="507"/>
      <c r="AV50" s="507" t="str">
        <f>IF(T50="","",T50)</f>
        <v>Добавить группу потребителей</v>
      </c>
      <c r="AW50" s="507"/>
      <c r="AX50" s="507"/>
      <c r="AY50" s="1162">
        <v>21</v>
      </c>
    </row>
    <row customHeight="1" ht="22.049999999999997">
      <c r="A51" s="1370" t="s">
        <v>414</v>
      </c>
      <c r="B51" s="1370" t="s">
        <v>415</v>
      </c>
      <c r="C51" s="1370" t="s">
        <v>416</v>
      </c>
      <c r="D51" s="1370" t="s">
        <v>704</v>
      </c>
      <c r="E51" s="2266"/>
      <c r="F51" s="2266"/>
      <c r="G51" s="2266"/>
      <c r="H51" s="2265"/>
      <c r="I51" s="1370"/>
      <c r="J51" s="1370"/>
      <c r="K51" s="1370"/>
      <c r="L51" s="1371"/>
      <c r="M51" s="1372"/>
      <c r="N51" s="1372"/>
      <c r="O51" s="544"/>
      <c r="P51" s="367"/>
      <c r="Q51" s="382"/>
      <c r="R51" s="362"/>
      <c r="S51" s="1285"/>
      <c r="T51" s="379" t="s">
        <v>648</v>
      </c>
      <c r="U51" s="374"/>
      <c r="V51" s="374"/>
      <c r="W51" s="607"/>
      <c r="X51" s="607"/>
      <c r="Y51" s="607"/>
      <c r="Z51" s="607"/>
      <c r="AA51" s="607"/>
      <c r="AB51" s="607"/>
      <c r="AC51" s="374"/>
      <c r="AD51" s="374"/>
      <c r="AE51" s="374"/>
      <c r="AF51" s="373"/>
      <c r="AG51" s="374"/>
      <c r="AH51" s="607"/>
      <c r="AI51" s="607"/>
      <c r="AJ51" s="607"/>
      <c r="AK51" s="607"/>
      <c r="AL51" s="607"/>
      <c r="AM51" s="374"/>
      <c r="AN51" s="374"/>
      <c r="AO51" s="374"/>
      <c r="AP51" s="374"/>
      <c r="AQ51" s="373"/>
      <c r="AR51" s="374"/>
      <c r="AS51" s="310"/>
      <c r="AU51" s="507"/>
      <c r="AV51" s="507" t="str">
        <f>IF(T51="","",T51)</f>
        <v>Добавить наименование признака дифференциации</v>
      </c>
      <c r="AW51" s="507"/>
      <c r="AX51" s="507"/>
      <c r="AY51" s="1162">
        <v>21</v>
      </c>
    </row>
    <row s="1649" customFormat="1" customHeight="1" ht="0">
      <c r="A52" s="1350" t="s">
        <v>414</v>
      </c>
      <c r="B52" s="1350" t="s">
        <v>415</v>
      </c>
      <c r="C52" s="1321"/>
      <c r="D52" s="1321"/>
      <c r="E52" s="2266"/>
      <c r="F52" s="2265"/>
      <c r="G52" s="1321"/>
      <c r="H52" s="1321"/>
      <c r="I52" s="1321"/>
      <c r="J52" s="1321"/>
      <c r="K52" s="1321"/>
      <c r="L52" s="1501"/>
      <c r="M52" s="1328"/>
      <c r="N52" s="1328"/>
      <c r="P52" s="1323"/>
      <c r="Q52" s="1324"/>
      <c r="R52" s="1323"/>
      <c r="S52" s="1329"/>
      <c r="T52" s="1332" t="s">
        <v>316</v>
      </c>
      <c r="U52" s="1331"/>
      <c r="V52" s="1331"/>
      <c r="W52" s="1331"/>
      <c r="X52" s="1331"/>
      <c r="Y52" s="1331"/>
      <c r="Z52" s="1331"/>
      <c r="AA52" s="1331"/>
      <c r="AB52" s="1331"/>
      <c r="AC52" s="1331"/>
      <c r="AD52" s="1331"/>
      <c r="AE52" s="1331"/>
      <c r="AF52" s="1331"/>
      <c r="AG52" s="1331"/>
      <c r="AH52" s="1331"/>
      <c r="AI52" s="1331"/>
      <c r="AJ52" s="1331"/>
      <c r="AK52" s="1331"/>
      <c r="AL52" s="1331"/>
      <c r="AM52" s="1331"/>
      <c r="AN52" s="1331"/>
      <c r="AO52" s="1331"/>
      <c r="AP52" s="1331"/>
      <c r="AQ52" s="1331"/>
      <c r="AR52" s="1331"/>
      <c r="AS52" s="1331"/>
      <c r="AU52" s="796"/>
      <c r="AV52" s="796" t="str">
        <f>IF(T52="","",T52)</f>
        <v>Добавить централизованную систему для дифференциации</v>
      </c>
      <c r="AW52" s="796"/>
      <c r="AX52" s="796"/>
      <c r="AY52" s="525">
        <v>0</v>
      </c>
    </row>
    <row s="1649" customFormat="1" customHeight="1" ht="0">
      <c r="A53" s="1350" t="s">
        <v>414</v>
      </c>
      <c r="B53" s="1350"/>
      <c r="C53" s="1350"/>
      <c r="D53" s="1350"/>
      <c r="E53" s="2265"/>
      <c r="F53" s="1350"/>
      <c r="G53" s="1350"/>
      <c r="H53" s="1350"/>
      <c r="I53" s="1350"/>
      <c r="J53" s="1350"/>
      <c r="K53" s="1350"/>
      <c r="L53" s="1353"/>
      <c r="M53" s="1328"/>
      <c r="N53" s="1328"/>
      <c r="O53" s="525"/>
      <c r="P53" s="387"/>
      <c r="Q53" s="1351"/>
      <c r="R53" s="387"/>
      <c r="S53" s="1329"/>
      <c r="T53" s="1332" t="s">
        <v>390</v>
      </c>
      <c r="U53" s="1331"/>
      <c r="V53" s="1331"/>
      <c r="W53" s="1331"/>
      <c r="X53" s="1331"/>
      <c r="Y53" s="1331"/>
      <c r="Z53" s="1331"/>
      <c r="AA53" s="1331"/>
      <c r="AB53" s="1331"/>
      <c r="AC53" s="1331"/>
      <c r="AD53" s="1331"/>
      <c r="AE53" s="1331"/>
      <c r="AF53" s="1331"/>
      <c r="AG53" s="1331"/>
      <c r="AH53" s="1331"/>
      <c r="AI53" s="1331"/>
      <c r="AJ53" s="1331"/>
      <c r="AK53" s="1331"/>
      <c r="AL53" s="1331"/>
      <c r="AM53" s="1331"/>
      <c r="AN53" s="1331"/>
      <c r="AO53" s="1331"/>
      <c r="AP53" s="1331"/>
      <c r="AQ53" s="1331"/>
      <c r="AR53" s="1331"/>
      <c r="AS53" s="1331"/>
      <c r="AU53" s="507"/>
      <c r="AV53" s="507" t="str">
        <f>IF(T53="","",T53)</f>
        <v>Добавить территорию для дифференциации</v>
      </c>
      <c r="AW53" s="507"/>
      <c r="AX53" s="507"/>
      <c r="AY53" s="518">
        <v>0</v>
      </c>
    </row>
    <row s="1649" customFormat="1" customHeight="1" ht="0">
      <c r="A54" s="1321"/>
      <c r="B54" s="1321"/>
      <c r="C54" s="1321"/>
      <c r="D54" s="1321"/>
      <c r="E54" s="1350"/>
      <c r="F54" s="1321"/>
      <c r="G54" s="1321"/>
      <c r="H54" s="1321"/>
      <c r="I54" s="1321"/>
      <c r="J54" s="1321"/>
      <c r="K54" s="1321"/>
      <c r="L54" s="1501"/>
      <c r="M54" s="1328"/>
      <c r="N54" s="1328"/>
      <c r="P54" s="1323"/>
      <c r="Q54" s="1324"/>
      <c r="R54" s="1323"/>
      <c r="S54" s="1329"/>
      <c r="T54" s="1332" t="s">
        <v>391</v>
      </c>
      <c r="U54" s="1331"/>
      <c r="V54" s="1331"/>
      <c r="W54" s="1331"/>
      <c r="X54" s="1331"/>
      <c r="Y54" s="1331"/>
      <c r="Z54" s="1331"/>
      <c r="AA54" s="1331"/>
      <c r="AB54" s="1331"/>
      <c r="AC54" s="1331"/>
      <c r="AD54" s="1331"/>
      <c r="AE54" s="1331"/>
      <c r="AF54" s="1331"/>
      <c r="AG54" s="1331"/>
      <c r="AH54" s="1331"/>
      <c r="AI54" s="1331"/>
      <c r="AJ54" s="1331"/>
      <c r="AK54" s="1331"/>
      <c r="AL54" s="1331"/>
      <c r="AM54" s="1331"/>
      <c r="AN54" s="1331"/>
      <c r="AO54" s="1331"/>
      <c r="AP54" s="1331"/>
      <c r="AQ54" s="1331"/>
      <c r="AR54" s="1331"/>
      <c r="AS54" s="1331"/>
      <c r="AU54" s="796"/>
      <c r="AV54" s="796" t="str">
        <f>IF(T54="","",T54)</f>
        <v>Добавить наименование тарифа</v>
      </c>
      <c r="AW54" s="796"/>
      <c r="AX54" s="796"/>
      <c r="AY54" s="525">
        <v>0</v>
      </c>
    </row>
    <row customHeight="1" ht="11.549999999999999">
      <c r="M55" s="1167"/>
      <c r="N55" s="1167"/>
      <c r="O55" s="544"/>
      <c r="P55" s="1162"/>
      <c r="Q55" s="1162"/>
      <c r="R55" s="1162"/>
      <c r="S55" s="1162"/>
      <c r="AT55" s="1162"/>
      <c r="AU55" s="1162"/>
      <c r="AV55" s="1162"/>
      <c r="AW55" s="1162"/>
      <c r="AX55" s="1162"/>
      <c r="AY55" s="1162">
        <v>11</v>
      </c>
    </row>
    <row customHeight="1" ht="14.699999999999998">
      <c r="O56" s="544"/>
      <c r="S56" s="1260"/>
      <c r="T56" s="2292"/>
      <c r="U56" s="2292"/>
      <c r="V56" s="2292"/>
      <c r="W56" s="2292"/>
      <c r="X56" s="2292"/>
      <c r="Y56" s="2292"/>
      <c r="Z56" s="2292"/>
      <c r="AA56" s="2292"/>
      <c r="AB56" s="2292"/>
      <c r="AC56" s="2292"/>
      <c r="AD56" s="2292"/>
      <c r="AE56" s="2292"/>
      <c r="AF56" s="2292"/>
      <c r="AG56" s="2292"/>
      <c r="AH56" s="2292"/>
      <c r="AI56" s="2292"/>
      <c r="AJ56" s="2292"/>
      <c r="AK56" s="2292"/>
      <c r="AL56" s="2292"/>
      <c r="AM56" s="2292"/>
      <c r="AN56" s="2292"/>
      <c r="AO56" s="2292"/>
      <c r="AP56" s="2292"/>
      <c r="AQ56" s="2292"/>
      <c r="AR56" s="2292"/>
      <c r="AS56" s="2292"/>
      <c r="AY56" s="1162">
        <v>14</v>
      </c>
    </row>
    <row customHeight="1" ht="14.699999999999998">
      <c r="O57" s="544"/>
      <c r="AY57" s="1162">
        <v>14</v>
      </c>
    </row>
    <row customHeight="1" ht="14.699999999999998">
      <c r="O58" s="544"/>
      <c r="S58" s="1260"/>
      <c r="T58" s="2292"/>
      <c r="U58" s="2292"/>
      <c r="V58" s="2292"/>
      <c r="W58" s="2292"/>
      <c r="X58" s="2292"/>
      <c r="Y58" s="2292"/>
      <c r="Z58" s="2292"/>
      <c r="AA58" s="2292"/>
      <c r="AB58" s="2292"/>
      <c r="AC58" s="2292"/>
      <c r="AD58" s="2292"/>
      <c r="AE58" s="2292"/>
      <c r="AF58" s="2292"/>
      <c r="AG58" s="2292"/>
      <c r="AH58" s="2292"/>
      <c r="AI58" s="2292"/>
      <c r="AJ58" s="2292"/>
      <c r="AK58" s="2292"/>
      <c r="AL58" s="2292"/>
      <c r="AM58" s="2292"/>
      <c r="AN58" s="2292"/>
      <c r="AO58" s="2292"/>
      <c r="AP58" s="2292"/>
      <c r="AQ58" s="2292"/>
      <c r="AR58" s="2292"/>
      <c r="AS58" s="2292"/>
      <c r="AY58" s="1162">
        <v>14</v>
      </c>
    </row>
    <row customHeight="1" ht="22.5" hidden="1">
      <c r="A59" s="1167" t="s">
        <v>82</v>
      </c>
      <c r="B59" s="1167">
        <v>0</v>
      </c>
      <c r="C59" s="1167">
        <v>0</v>
      </c>
      <c r="D59" s="1167">
        <v>0</v>
      </c>
      <c r="E59" s="1167">
        <v>0</v>
      </c>
      <c r="F59" s="1167">
        <v>0</v>
      </c>
      <c r="G59" s="1167">
        <v>0</v>
      </c>
      <c r="H59" s="1167">
        <v>0</v>
      </c>
      <c r="I59" s="1167">
        <v>0</v>
      </c>
      <c r="J59" s="1167">
        <v>0</v>
      </c>
      <c r="K59" s="1167">
        <v>0</v>
      </c>
      <c r="L59" s="1485">
        <v>0</v>
      </c>
      <c r="M59" s="1369">
        <v>0</v>
      </c>
      <c r="N59" s="1369">
        <v>0</v>
      </c>
      <c r="O59" s="1369">
        <v>0</v>
      </c>
      <c r="P59" s="1480">
        <v>3</v>
      </c>
      <c r="Q59" s="351">
        <v>3</v>
      </c>
      <c r="R59" s="351">
        <v>3</v>
      </c>
      <c r="S59" s="588">
        <v>12</v>
      </c>
      <c r="T59" s="1162">
        <v>35</v>
      </c>
      <c r="U59" s="1162">
        <v>0</v>
      </c>
      <c r="V59" s="1162">
        <v>0</v>
      </c>
      <c r="W59" s="1638">
        <v>0</v>
      </c>
      <c r="X59" s="1638">
        <v>0</v>
      </c>
      <c r="Y59" s="1638">
        <v>0</v>
      </c>
      <c r="Z59" s="1638">
        <v>0</v>
      </c>
      <c r="AA59" s="1638">
        <v>0</v>
      </c>
      <c r="AB59" s="1638">
        <v>0</v>
      </c>
      <c r="AC59" s="1162">
        <v>0</v>
      </c>
      <c r="AD59" s="1162">
        <v>0</v>
      </c>
      <c r="AE59" s="1162">
        <v>0</v>
      </c>
      <c r="AF59" s="1162">
        <v>0</v>
      </c>
      <c r="AG59" s="1162">
        <v>19</v>
      </c>
      <c r="AH59" s="1638">
        <v>19</v>
      </c>
      <c r="AI59" s="1638">
        <v>19</v>
      </c>
      <c r="AJ59" s="1638">
        <v>19</v>
      </c>
      <c r="AK59" s="1638">
        <v>19</v>
      </c>
      <c r="AL59" s="1638">
        <v>19</v>
      </c>
      <c r="AM59" s="1162">
        <v>19</v>
      </c>
      <c r="AN59" s="1162">
        <v>11</v>
      </c>
      <c r="AO59" s="1162">
        <v>3</v>
      </c>
      <c r="AP59" s="1162">
        <v>11</v>
      </c>
      <c r="AQ59" s="1162">
        <v>0</v>
      </c>
      <c r="AR59" s="1162">
        <v>4</v>
      </c>
      <c r="AS59" s="1162">
        <v>115</v>
      </c>
      <c r="AT59" s="518">
        <v>10</v>
      </c>
      <c r="AU59" s="518">
        <v>10</v>
      </c>
      <c r="AV59" s="518">
        <v>10</v>
      </c>
      <c r="AW59" s="518">
        <v>10</v>
      </c>
      <c r="AX59" s="518">
        <v>10</v>
      </c>
      <c r="AY59" s="1162">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8C4C1A-7563-067A-DA18-1EB45CA28202}"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4.140625" hidden="1" customWidth="1"/>
    <col min="10" max="10" style="1373" width="9.8515625" hidden="1" customWidth="1"/>
    <col min="11" max="11" style="1373" width="14.7109375" hidden="1" customWidth="1"/>
    <col min="12" max="12" style="2614" width="19.140625" hidden="1" customWidth="1"/>
    <col min="13" max="14" style="1783" width="12.28125" hidden="1" customWidth="1"/>
    <col min="15" max="15" style="1783" width="23.421875" hidden="1" customWidth="1"/>
    <col min="16" max="16" style="2404" width="3.00390625" customWidth="1"/>
    <col min="17" max="18" style="351" width="3.00390625" customWidth="1"/>
    <col min="19" max="19" style="2414" width="12.00390625" customWidth="1"/>
    <col min="20" max="20" style="1642" width="35.00390625" customWidth="1"/>
    <col min="21" max="21" style="1642" width="0.140625" customWidth="1"/>
    <col min="22" max="28" style="1642" width="19.7109375" hidden="1" customWidth="1"/>
    <col min="29" max="29" style="1642" width="11.7109375" hidden="1" customWidth="1"/>
    <col min="30" max="30" style="1642" width="3.7109375" hidden="1" customWidth="1"/>
    <col min="31" max="31" style="1642" width="11.7109375" hidden="1" customWidth="1"/>
    <col min="32" max="32" style="1642" width="8.57421875" hidden="1" customWidth="1"/>
    <col min="33" max="33" style="1642" width="19.7109375" customWidth="1"/>
    <col min="34" max="39" style="1642" width="19.00390625" customWidth="1"/>
    <col min="40" max="40" style="1642" width="11.00390625" customWidth="1"/>
    <col min="41" max="41" style="1642" width="3.7109375" customWidth="1"/>
    <col min="42" max="42" style="1642" width="11.00390625" customWidth="1"/>
    <col min="43" max="43" style="1642" width="8.57421875" hidden="1" customWidth="1"/>
    <col min="44" max="44" style="1642" width="4.00390625" customWidth="1"/>
    <col min="45" max="45" style="1642" width="115.00390625" customWidth="1"/>
    <col min="46" max="50" style="1649" width="10.00390625" customWidth="1"/>
    <col min="51" max="51" style="1642" width="10.57421875" hidden="1"/>
  </cols>
  <sheetData>
    <row customHeight="1" ht="22.5" hidden="1">
      <c r="AB1" s="334"/>
      <c r="AC1" s="334"/>
      <c r="AM1" s="334"/>
      <c r="AN1" s="334"/>
      <c r="AY1" s="1162" t="s">
        <v>14</v>
      </c>
    </row>
    <row customHeight="1" ht="23.25" hidden="1">
      <c r="A2" s="1370"/>
      <c r="B2" s="1370"/>
      <c r="C2" s="1370"/>
      <c r="D2" s="1370"/>
      <c r="E2" s="2265">
        <v>1</v>
      </c>
      <c r="F2" s="1370"/>
      <c r="G2" s="1370"/>
      <c r="H2" s="1370"/>
      <c r="I2" s="1370"/>
      <c r="J2" s="1370"/>
      <c r="K2" s="1370"/>
      <c r="L2" s="1371"/>
      <c r="M2" s="1372"/>
      <c r="N2" s="1372"/>
      <c r="O2" s="1372"/>
      <c r="P2" s="368"/>
      <c r="Q2" s="367"/>
      <c r="R2" s="362"/>
      <c r="S2" s="1500">
        <f>INDEX(PT_DIFFERENTIATION_NUM_NTAR,MATCH(A2,PT_DIFFERENTIATION_NTAR_ID,0))</f>
      </c>
      <c r="T2" s="305" t="s">
        <v>215</v>
      </c>
      <c r="U2" s="307"/>
      <c r="V2" s="2249"/>
      <c r="W2" s="2250"/>
      <c r="X2" s="2250"/>
      <c r="Y2" s="2250"/>
      <c r="Z2" s="2250"/>
      <c r="AA2" s="2250"/>
      <c r="AB2" s="2250"/>
      <c r="AC2" s="2250"/>
      <c r="AD2" s="2250"/>
      <c r="AE2" s="2250"/>
      <c r="AF2" s="2251"/>
      <c r="AG2" s="2249">
        <f>INDEX(PT_DIFFERENTIATION_NTAR,MATCH(A2,PT_DIFFERENTIATION_NTAR_ID,0))</f>
      </c>
      <c r="AH2" s="2250"/>
      <c r="AI2" s="2250"/>
      <c r="AJ2" s="2250"/>
      <c r="AK2" s="2250"/>
      <c r="AL2" s="2250"/>
      <c r="AM2" s="2250"/>
      <c r="AN2" s="2250"/>
      <c r="AO2" s="2250"/>
      <c r="AP2" s="2250"/>
      <c r="AQ2" s="2250"/>
      <c r="AR2" s="2251"/>
      <c r="AS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7"/>
      <c r="AV2" s="507" t="str">
        <f>IF(T2="","",T2)</f>
        <v>Наименование тарифа</v>
      </c>
      <c r="AW2" s="507"/>
      <c r="AX2" s="507"/>
      <c r="AY2" s="1162">
        <v>0</v>
      </c>
    </row>
    <row customHeight="1" ht="23.25" hidden="1">
      <c r="A3" s="1370"/>
      <c r="B3" s="1370"/>
      <c r="C3" s="1370"/>
      <c r="D3" s="1370"/>
      <c r="E3" s="2266"/>
      <c r="F3" s="2265">
        <v>1</v>
      </c>
      <c r="G3" s="1370"/>
      <c r="H3" s="1370"/>
      <c r="I3" s="1370"/>
      <c r="J3" s="1370"/>
      <c r="K3" s="1370"/>
      <c r="L3" s="1371"/>
      <c r="M3" s="1372"/>
      <c r="N3" s="1372"/>
      <c r="O3" s="1372"/>
      <c r="P3" s="1494"/>
      <c r="Q3" s="359"/>
      <c r="R3" s="360"/>
      <c r="S3" s="1500">
        <f>INDEX(PT_DIFFERENTIATION_NUM_TER,MATCH(B3,PT_DIFFERENTIATION_TER_ID,0))</f>
      </c>
      <c r="T3" s="315" t="s">
        <v>560</v>
      </c>
      <c r="U3" s="307"/>
      <c r="V3" s="2249"/>
      <c r="W3" s="2250"/>
      <c r="X3" s="2250"/>
      <c r="Y3" s="2250"/>
      <c r="Z3" s="2250"/>
      <c r="AA3" s="2250"/>
      <c r="AB3" s="2250"/>
      <c r="AC3" s="2250"/>
      <c r="AD3" s="2250"/>
      <c r="AE3" s="2250"/>
      <c r="AF3" s="2251"/>
      <c r="AG3" s="2249">
        <f>INDEX(PT_DIFFERENTIATION_TER,MATCH(B3,PT_DIFFERENTIATION_TER_ID,0))</f>
      </c>
      <c r="AH3" s="2250"/>
      <c r="AI3" s="2250"/>
      <c r="AJ3" s="2250"/>
      <c r="AK3" s="2250"/>
      <c r="AL3" s="2250"/>
      <c r="AM3" s="2250"/>
      <c r="AN3" s="2250"/>
      <c r="AO3" s="2250"/>
      <c r="AP3" s="2250"/>
      <c r="AQ3" s="2250"/>
      <c r="AR3" s="2251"/>
      <c r="AS3" s="1265" t="s">
        <v>561</v>
      </c>
      <c r="AU3" s="507"/>
      <c r="AV3" s="507" t="str">
        <f>IF(T3="","",T3)</f>
        <v>Территория действия тарифа</v>
      </c>
      <c r="AW3" s="507"/>
      <c r="AX3" s="507"/>
      <c r="AY3" s="1162">
        <v>0</v>
      </c>
    </row>
    <row customHeight="1" ht="23.25" hidden="1">
      <c r="A4" s="1370"/>
      <c r="B4" s="1370"/>
      <c r="C4" s="1370"/>
      <c r="D4" s="1370"/>
      <c r="E4" s="2266"/>
      <c r="F4" s="2266"/>
      <c r="G4" s="2265">
        <v>1</v>
      </c>
      <c r="H4" s="1370"/>
      <c r="I4" s="1370"/>
      <c r="J4" s="1370"/>
      <c r="K4" s="1370"/>
      <c r="L4" s="1371"/>
      <c r="M4" s="1372"/>
      <c r="N4" s="1372"/>
      <c r="O4" s="1372"/>
      <c r="P4" s="361"/>
      <c r="Q4" s="359"/>
      <c r="R4" s="360"/>
      <c r="S4" s="1500">
        <f>INDEX(PT_DIFFERENTIATION_NUM_CS,MATCH(C4,PT_DIFFERENTIATION_CS_ID,0))</f>
      </c>
      <c r="T4" s="316" t="s">
        <v>692</v>
      </c>
      <c r="U4" s="307"/>
      <c r="V4" s="2249"/>
      <c r="W4" s="2250"/>
      <c r="X4" s="2250"/>
      <c r="Y4" s="2250"/>
      <c r="Z4" s="2250"/>
      <c r="AA4" s="2250"/>
      <c r="AB4" s="2250"/>
      <c r="AC4" s="2250"/>
      <c r="AD4" s="2250"/>
      <c r="AE4" s="2250"/>
      <c r="AF4" s="2251"/>
      <c r="AG4" s="2249">
        <f>INDEX(PT_DIFFERENTIATION_CS,MATCH(C4,PT_DIFFERENTIATION_CS_ID,0))</f>
      </c>
      <c r="AH4" s="2250"/>
      <c r="AI4" s="2250"/>
      <c r="AJ4" s="2250"/>
      <c r="AK4" s="2250"/>
      <c r="AL4" s="2250"/>
      <c r="AM4" s="2250"/>
      <c r="AN4" s="2250"/>
      <c r="AO4" s="2250"/>
      <c r="AP4" s="2250"/>
      <c r="AQ4" s="2250"/>
      <c r="AR4" s="2251"/>
      <c r="AS4" s="1265" t="s">
        <v>693</v>
      </c>
      <c r="AU4" s="507"/>
      <c r="AV4" s="507" t="str">
        <f>IF(T4="","",T4)</f>
        <v>Наименование централизованной системы горячего водоснабжения</v>
      </c>
      <c r="AW4" s="507"/>
      <c r="AX4" s="507"/>
      <c r="AY4" s="1162">
        <v>0</v>
      </c>
    </row>
    <row customHeight="1" ht="23.25" hidden="1">
      <c r="A5" s="1370"/>
      <c r="B5" s="1370"/>
      <c r="C5" s="1370"/>
      <c r="D5" s="1370"/>
      <c r="E5" s="2266"/>
      <c r="F5" s="2266"/>
      <c r="G5" s="2266"/>
      <c r="H5" s="2266"/>
      <c r="I5" s="2263">
        <f>S4&amp;".1"</f>
      </c>
      <c r="J5" s="1370"/>
      <c r="K5" s="1370"/>
      <c r="L5" s="1371"/>
      <c r="P5" s="2264">
        <v>1</v>
      </c>
      <c r="Q5" s="1488"/>
      <c r="R5" s="363"/>
      <c r="S5" s="1500">
        <f>$I5</f>
      </c>
      <c r="T5" s="292" t="s">
        <v>643</v>
      </c>
      <c r="U5" s="307"/>
      <c r="V5" s="2357"/>
      <c r="W5" s="2358"/>
      <c r="X5" s="2358"/>
      <c r="Y5" s="2358"/>
      <c r="Z5" s="2358"/>
      <c r="AA5" s="2358"/>
      <c r="AB5" s="2358"/>
      <c r="AC5" s="2358"/>
      <c r="AD5" s="2358"/>
      <c r="AE5" s="2358"/>
      <c r="AF5" s="2359"/>
      <c r="AG5" s="2360"/>
      <c r="AH5" s="2361"/>
      <c r="AI5" s="2361"/>
      <c r="AJ5" s="2361"/>
      <c r="AK5" s="2361"/>
      <c r="AL5" s="2361"/>
      <c r="AM5" s="2361"/>
      <c r="AN5" s="2361"/>
      <c r="AO5" s="2361"/>
      <c r="AP5" s="2361"/>
      <c r="AQ5" s="2361"/>
      <c r="AR5" s="2362"/>
      <c r="AS5" s="1265" t="s">
        <v>644</v>
      </c>
      <c r="AU5" s="507"/>
      <c r="AV5" s="507" t="str">
        <f>IF(T5="","",T5)</f>
        <v>Наименование признака дифференциации</v>
      </c>
      <c r="AW5" s="507"/>
      <c r="AX5" s="507"/>
      <c r="AY5" s="1162">
        <v>0</v>
      </c>
    </row>
    <row customHeight="1" ht="23.25" hidden="1">
      <c r="A6" s="1370"/>
      <c r="B6" s="1370"/>
      <c r="C6" s="1370"/>
      <c r="D6" s="1370"/>
      <c r="E6" s="2266"/>
      <c r="F6" s="2266"/>
      <c r="G6" s="2266"/>
      <c r="H6" s="2266"/>
      <c r="I6" s="2293"/>
      <c r="J6" s="2263">
        <f>I5&amp;".1"</f>
      </c>
      <c r="K6" s="1370"/>
      <c r="L6" s="1371" t="s">
        <v>569</v>
      </c>
      <c r="P6" s="2264"/>
      <c r="Q6" s="2264">
        <v>1</v>
      </c>
      <c r="R6" s="364"/>
      <c r="S6" s="1500">
        <f>$J6</f>
      </c>
      <c r="T6" s="293" t="s">
        <v>570</v>
      </c>
      <c r="U6" s="307"/>
      <c r="V6" s="2252"/>
      <c r="W6" s="2253"/>
      <c r="X6" s="2253"/>
      <c r="Y6" s="2253"/>
      <c r="Z6" s="2253"/>
      <c r="AA6" s="2253"/>
      <c r="AB6" s="2253"/>
      <c r="AC6" s="2253"/>
      <c r="AD6" s="2253"/>
      <c r="AE6" s="2253"/>
      <c r="AF6" s="2254"/>
      <c r="AG6" s="2252"/>
      <c r="AH6" s="2253"/>
      <c r="AI6" s="2253"/>
      <c r="AJ6" s="2253"/>
      <c r="AK6" s="2253"/>
      <c r="AL6" s="2253"/>
      <c r="AM6" s="2253"/>
      <c r="AN6" s="2253"/>
      <c r="AO6" s="2253"/>
      <c r="AP6" s="2253"/>
      <c r="AQ6" s="2253"/>
      <c r="AR6" s="2254"/>
      <c r="AS6" s="1314" t="s">
        <v>645</v>
      </c>
      <c r="AU6" s="507"/>
      <c r="AV6" s="507" t="str">
        <f>IF(T6="","",T6)</f>
        <v>Группа потребителей</v>
      </c>
      <c r="AW6" s="507"/>
      <c r="AX6" s="507"/>
      <c r="AY6" s="1162">
        <v>0</v>
      </c>
    </row>
    <row customHeight="1" ht="23.25" hidden="1">
      <c r="A7" s="1370"/>
      <c r="B7" s="1370"/>
      <c r="C7" s="1370"/>
      <c r="D7" s="1370"/>
      <c r="E7" s="2266"/>
      <c r="F7" s="2266"/>
      <c r="G7" s="2266"/>
      <c r="H7" s="2266"/>
      <c r="I7" s="2293"/>
      <c r="J7" s="2293"/>
      <c r="K7" s="2263">
        <f>J6&amp;".1"</f>
      </c>
      <c r="L7" s="1371"/>
      <c r="P7" s="2264"/>
      <c r="Q7" s="2264"/>
      <c r="R7" s="364">
        <v>1</v>
      </c>
      <c r="S7" s="1500">
        <f>$K7</f>
      </c>
      <c r="T7" s="1444"/>
      <c r="U7" s="307"/>
      <c r="V7" s="758"/>
      <c r="W7" s="758"/>
      <c r="X7" s="758"/>
      <c r="Y7" s="758"/>
      <c r="Z7" s="758"/>
      <c r="AA7" s="758"/>
      <c r="AB7" s="1264"/>
      <c r="AC7" s="2272"/>
      <c r="AD7" s="2114" t="s">
        <v>66</v>
      </c>
      <c r="AE7" s="2272"/>
      <c r="AF7" s="2114" t="s">
        <v>66</v>
      </c>
      <c r="AG7" s="758"/>
      <c r="AH7" s="758"/>
      <c r="AI7" s="758"/>
      <c r="AJ7" s="758"/>
      <c r="AK7" s="758"/>
      <c r="AL7" s="758"/>
      <c r="AM7" s="1264"/>
      <c r="AN7" s="2272"/>
      <c r="AO7" s="2114" t="s">
        <v>66</v>
      </c>
      <c r="AP7" s="2294"/>
      <c r="AQ7" s="2114" t="s">
        <v>66</v>
      </c>
      <c r="AR7" s="1445"/>
      <c r="AS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8">
        <f>STRCHECKDATE(V8:AR8)</f>
      </c>
      <c r="AU7" s="507"/>
      <c r="AV7" s="507" t="str">
        <f>IF(T7="","",T7)</f>
        <v/>
      </c>
      <c r="AW7" s="507"/>
      <c r="AX7" s="507"/>
      <c r="AY7" s="1162">
        <v>0</v>
      </c>
    </row>
    <row customHeight="1" ht="14.25" hidden="1">
      <c r="A8" s="1370"/>
      <c r="B8" s="1370"/>
      <c r="C8" s="1370"/>
      <c r="D8" s="1370"/>
      <c r="E8" s="2266"/>
      <c r="F8" s="2266"/>
      <c r="G8" s="2266"/>
      <c r="H8" s="2266"/>
      <c r="I8" s="2293"/>
      <c r="J8" s="2293"/>
      <c r="K8" s="2263"/>
      <c r="L8" s="1371"/>
      <c r="P8" s="2264"/>
      <c r="Q8" s="2264"/>
      <c r="R8" s="364"/>
      <c r="S8" s="1497"/>
      <c r="T8" s="307"/>
      <c r="U8" s="307"/>
      <c r="V8" s="332"/>
      <c r="W8" s="332"/>
      <c r="X8" s="332"/>
      <c r="Y8" s="332"/>
      <c r="Z8" s="332"/>
      <c r="AA8" s="332"/>
      <c r="AB8" s="335" t="str">
        <f>AC7&amp;"-"&amp;AE7</f>
        <v>-</v>
      </c>
      <c r="AC8" s="2273"/>
      <c r="AD8" s="2114"/>
      <c r="AE8" s="2273"/>
      <c r="AF8" s="2114"/>
      <c r="AG8" s="332"/>
      <c r="AH8" s="332"/>
      <c r="AI8" s="332"/>
      <c r="AJ8" s="332"/>
      <c r="AK8" s="332"/>
      <c r="AL8" s="332"/>
      <c r="AM8" s="335" t="str">
        <f>AN7&amp;"-"&amp;AP7</f>
        <v>-</v>
      </c>
      <c r="AN8" s="2273"/>
      <c r="AO8" s="2114"/>
      <c r="AP8" s="2295"/>
      <c r="AQ8" s="2114"/>
      <c r="AR8" s="1446"/>
      <c r="AS8" s="2356"/>
      <c r="AU8" s="507"/>
      <c r="AV8" s="507" t="str">
        <f>IF(T8="","",T8)</f>
        <v/>
      </c>
      <c r="AW8" s="507"/>
      <c r="AX8" s="507"/>
      <c r="AY8" s="1162">
        <v>0</v>
      </c>
    </row>
    <row customHeight="1" ht="21" hidden="1">
      <c r="A9" s="1370"/>
      <c r="B9" s="1370"/>
      <c r="C9" s="1370"/>
      <c r="D9" s="1370"/>
      <c r="E9" s="2266"/>
      <c r="F9" s="2266"/>
      <c r="G9" s="2266"/>
      <c r="H9" s="2266"/>
      <c r="I9" s="2293"/>
      <c r="J9" s="2263"/>
      <c r="K9" s="1370"/>
      <c r="L9" s="1371"/>
      <c r="P9" s="2264"/>
      <c r="Q9" s="2264"/>
      <c r="R9" s="363"/>
      <c r="S9" s="1285"/>
      <c r="T9" s="294" t="s">
        <v>646</v>
      </c>
      <c r="U9" s="374"/>
      <c r="V9" s="374"/>
      <c r="W9" s="607"/>
      <c r="X9" s="607"/>
      <c r="Y9" s="607"/>
      <c r="Z9" s="607"/>
      <c r="AA9" s="607"/>
      <c r="AB9" s="374"/>
      <c r="AC9" s="374"/>
      <c r="AD9" s="374"/>
      <c r="AE9" s="374"/>
      <c r="AF9" s="374"/>
      <c r="AG9" s="374"/>
      <c r="AH9" s="607"/>
      <c r="AI9" s="607"/>
      <c r="AJ9" s="607"/>
      <c r="AK9" s="607"/>
      <c r="AL9" s="607"/>
      <c r="AM9" s="374"/>
      <c r="AN9" s="374"/>
      <c r="AO9" s="374"/>
      <c r="AP9" s="374"/>
      <c r="AQ9" s="374"/>
      <c r="AR9" s="374"/>
      <c r="AS9" s="1265" t="s">
        <v>647</v>
      </c>
      <c r="AU9" s="507"/>
      <c r="AV9" s="507" t="str">
        <f>IF(T9="","",T9)</f>
        <v>Добавить значение признака дифференциации</v>
      </c>
      <c r="AW9" s="507"/>
      <c r="AX9" s="507"/>
      <c r="AY9" s="1162">
        <v>0</v>
      </c>
    </row>
    <row customHeight="1" ht="21" hidden="1">
      <c r="A10" s="1370"/>
      <c r="B10" s="1370"/>
      <c r="C10" s="1370"/>
      <c r="D10" s="1370"/>
      <c r="E10" s="2266"/>
      <c r="F10" s="2266"/>
      <c r="G10" s="2266"/>
      <c r="H10" s="2266"/>
      <c r="I10" s="2263"/>
      <c r="J10" s="1370"/>
      <c r="K10" s="1370"/>
      <c r="L10" s="1371"/>
      <c r="P10" s="2264"/>
      <c r="Q10" s="1488"/>
      <c r="R10" s="363"/>
      <c r="S10" s="1285"/>
      <c r="T10" s="372" t="s">
        <v>575</v>
      </c>
      <c r="U10" s="374"/>
      <c r="V10" s="374"/>
      <c r="W10" s="607"/>
      <c r="X10" s="607"/>
      <c r="Y10" s="607"/>
      <c r="Z10" s="607"/>
      <c r="AA10" s="607"/>
      <c r="AB10" s="374"/>
      <c r="AC10" s="374"/>
      <c r="AD10" s="374"/>
      <c r="AE10" s="374"/>
      <c r="AF10" s="373"/>
      <c r="AG10" s="374"/>
      <c r="AH10" s="607"/>
      <c r="AI10" s="607"/>
      <c r="AJ10" s="607"/>
      <c r="AK10" s="607"/>
      <c r="AL10" s="607"/>
      <c r="AM10" s="374"/>
      <c r="AN10" s="374"/>
      <c r="AO10" s="374"/>
      <c r="AP10" s="374"/>
      <c r="AQ10" s="373"/>
      <c r="AR10" s="374"/>
      <c r="AS10" s="1447"/>
      <c r="AU10" s="507"/>
      <c r="AV10" s="507" t="str">
        <f>IF(T10="","",T10)</f>
        <v>Добавить группу потребителей</v>
      </c>
      <c r="AW10" s="507"/>
      <c r="AX10" s="507"/>
      <c r="AY10" s="1162">
        <v>0</v>
      </c>
    </row>
    <row customHeight="1" ht="21" hidden="1">
      <c r="A11" s="1370"/>
      <c r="B11" s="1370"/>
      <c r="C11" s="1370"/>
      <c r="D11" s="1370"/>
      <c r="E11" s="2266"/>
      <c r="F11" s="2266"/>
      <c r="G11" s="2266"/>
      <c r="H11" s="2265"/>
      <c r="I11" s="1370"/>
      <c r="J11" s="1370"/>
      <c r="K11" s="1370"/>
      <c r="L11" s="1371"/>
      <c r="M11" s="1372"/>
      <c r="N11" s="1372"/>
      <c r="O11" s="544"/>
      <c r="P11" s="367"/>
      <c r="Q11" s="382"/>
      <c r="R11" s="362"/>
      <c r="S11" s="1285"/>
      <c r="T11" s="379" t="s">
        <v>648</v>
      </c>
      <c r="U11" s="374"/>
      <c r="V11" s="374"/>
      <c r="W11" s="607"/>
      <c r="X11" s="607"/>
      <c r="Y11" s="607"/>
      <c r="Z11" s="607"/>
      <c r="AA11" s="607"/>
      <c r="AB11" s="374"/>
      <c r="AC11" s="374"/>
      <c r="AD11" s="374"/>
      <c r="AE11" s="374"/>
      <c r="AF11" s="373"/>
      <c r="AG11" s="374"/>
      <c r="AH11" s="607"/>
      <c r="AI11" s="607"/>
      <c r="AJ11" s="607"/>
      <c r="AK11" s="607"/>
      <c r="AL11" s="607"/>
      <c r="AM11" s="374"/>
      <c r="AN11" s="374"/>
      <c r="AO11" s="374"/>
      <c r="AP11" s="374"/>
      <c r="AQ11" s="373"/>
      <c r="AR11" s="374"/>
      <c r="AS11" s="310"/>
      <c r="AU11" s="507"/>
      <c r="AV11" s="507" t="str">
        <f>IF(T11="","",T11)</f>
        <v>Добавить наименование признака дифференциации</v>
      </c>
      <c r="AW11" s="507"/>
      <c r="AX11" s="507"/>
      <c r="AY11" s="1162">
        <v>0</v>
      </c>
    </row>
    <row s="1649" customFormat="1" customHeight="1" ht="14.25" hidden="1">
      <c r="A12" s="1350"/>
      <c r="B12" s="1350"/>
      <c r="C12" s="1321"/>
      <c r="D12" s="1321"/>
      <c r="E12" s="2266"/>
      <c r="F12" s="2265"/>
      <c r="G12" s="1321"/>
      <c r="H12" s="1321"/>
      <c r="I12" s="1321"/>
      <c r="J12" s="1321"/>
      <c r="K12" s="1321"/>
      <c r="L12" s="1501"/>
      <c r="M12" s="1328"/>
      <c r="N12" s="1328"/>
      <c r="P12" s="1323"/>
      <c r="Q12" s="1324"/>
      <c r="R12" s="1323"/>
      <c r="S12" s="1329"/>
      <c r="T12" s="1332" t="s">
        <v>316</v>
      </c>
      <c r="U12" s="1331"/>
      <c r="V12" s="1331"/>
      <c r="W12" s="1331"/>
      <c r="X12" s="1331"/>
      <c r="Y12" s="1331"/>
      <c r="Z12" s="1331"/>
      <c r="AA12" s="1331"/>
      <c r="AB12" s="1331"/>
      <c r="AC12" s="1331"/>
      <c r="AD12" s="1331"/>
      <c r="AE12" s="1331"/>
      <c r="AF12" s="1331"/>
      <c r="AG12" s="1331"/>
      <c r="AH12" s="1331"/>
      <c r="AI12" s="1331"/>
      <c r="AJ12" s="1331"/>
      <c r="AK12" s="1331"/>
      <c r="AL12" s="1331"/>
      <c r="AM12" s="1331"/>
      <c r="AN12" s="1331"/>
      <c r="AO12" s="1331"/>
      <c r="AP12" s="1331"/>
      <c r="AQ12" s="1331"/>
      <c r="AR12" s="1331"/>
      <c r="AS12" s="1331"/>
      <c r="AU12" s="796"/>
      <c r="AV12" s="796" t="str">
        <f>IF(T12="","",T12)</f>
        <v>Добавить централизованную систему для дифференциации</v>
      </c>
      <c r="AW12" s="796"/>
      <c r="AX12" s="796"/>
      <c r="AY12" s="525">
        <v>0</v>
      </c>
    </row>
    <row s="1649" customFormat="1" customHeight="1" ht="14.25" hidden="1">
      <c r="A13" s="1350"/>
      <c r="B13" s="1350"/>
      <c r="C13" s="1350"/>
      <c r="D13" s="1350"/>
      <c r="E13" s="2265"/>
      <c r="F13" s="1350"/>
      <c r="G13" s="1350"/>
      <c r="H13" s="1350"/>
      <c r="I13" s="1350"/>
      <c r="J13" s="1350"/>
      <c r="K13" s="1350"/>
      <c r="L13" s="1353"/>
      <c r="M13" s="1328"/>
      <c r="N13" s="1328"/>
      <c r="O13" s="525"/>
      <c r="P13" s="387"/>
      <c r="Q13" s="1351"/>
      <c r="R13" s="387"/>
      <c r="S13" s="1329"/>
      <c r="T13" s="1332" t="s">
        <v>390</v>
      </c>
      <c r="U13" s="1331"/>
      <c r="V13" s="1331"/>
      <c r="W13" s="1331"/>
      <c r="X13" s="1331"/>
      <c r="Y13" s="1331"/>
      <c r="Z13" s="1331"/>
      <c r="AA13" s="1331"/>
      <c r="AB13" s="1331"/>
      <c r="AC13" s="1331"/>
      <c r="AD13" s="1331"/>
      <c r="AE13" s="1331"/>
      <c r="AF13" s="1331"/>
      <c r="AG13" s="1331"/>
      <c r="AH13" s="1331"/>
      <c r="AI13" s="1331"/>
      <c r="AJ13" s="1331"/>
      <c r="AK13" s="1331"/>
      <c r="AL13" s="1331"/>
      <c r="AM13" s="1331"/>
      <c r="AN13" s="1331"/>
      <c r="AO13" s="1331"/>
      <c r="AP13" s="1331"/>
      <c r="AQ13" s="1331"/>
      <c r="AR13" s="1331"/>
      <c r="AS13" s="1331"/>
      <c r="AU13" s="507"/>
      <c r="AV13" s="507" t="str">
        <f>IF(T13="","",T13)</f>
        <v>Добавить территорию для дифференциации</v>
      </c>
      <c r="AW13" s="507"/>
      <c r="AX13" s="507"/>
      <c r="AY13" s="518">
        <v>0</v>
      </c>
    </row>
    <row customHeight="1" ht="14.25" hidden="1">
      <c r="AF14" s="334"/>
      <c r="AQ14" s="334"/>
      <c r="AY14" s="1162">
        <v>0</v>
      </c>
    </row>
    <row customHeight="1" ht="14.25" hidden="1">
      <c r="AG15" s="1367"/>
      <c r="AH15" s="1367"/>
      <c r="AI15" s="1367"/>
      <c r="AJ15" s="1367"/>
      <c r="AK15" s="1367"/>
      <c r="AL15" s="1367"/>
      <c r="AM15" s="1368"/>
      <c r="AN15" s="2274"/>
      <c r="AO15" s="2275" t="s">
        <v>66</v>
      </c>
      <c r="AP15" s="2274"/>
      <c r="AQ15" s="2275" t="s">
        <v>66</v>
      </c>
      <c r="AY15" s="1162">
        <v>0</v>
      </c>
    </row>
    <row customHeight="1" ht="14.25" hidden="1">
      <c r="AG16" s="1367"/>
      <c r="AH16" s="1367"/>
      <c r="AI16" s="1367"/>
      <c r="AJ16" s="1367"/>
      <c r="AK16" s="1367"/>
      <c r="AL16" s="1367"/>
      <c r="AM16" s="335" t="str">
        <f>AN15&amp;"-"&amp;AP15</f>
        <v>-</v>
      </c>
      <c r="AN16" s="2275"/>
      <c r="AO16" s="2275"/>
      <c r="AP16" s="2275"/>
      <c r="AQ16" s="2275"/>
      <c r="AY16" s="1162">
        <v>0</v>
      </c>
    </row>
    <row customHeight="1" ht="14.25" hidden="1">
      <c r="AQ17" s="334"/>
      <c r="AY17" s="1162">
        <v>0</v>
      </c>
    </row>
    <row s="1373" customFormat="1" customHeight="1" ht="22.5" hidden="1">
      <c r="L18" s="1485"/>
      <c r="M18" s="1369"/>
      <c r="N18" s="1369"/>
      <c r="O18" s="1374" t="s">
        <v>578</v>
      </c>
      <c r="P18" s="1369"/>
      <c r="Q18" s="1378"/>
      <c r="R18" s="1378"/>
      <c r="S18" s="736"/>
      <c r="W18" s="1373"/>
      <c r="X18" s="1373"/>
      <c r="Y18" s="1373"/>
      <c r="Z18" s="1373"/>
      <c r="AA18" s="1373"/>
      <c r="AC18" s="1374"/>
      <c r="AE18" s="1374"/>
      <c r="AF18" s="1373"/>
      <c r="AH18" s="1373"/>
      <c r="AI18" s="1373"/>
      <c r="AJ18" s="1373"/>
      <c r="AK18" s="1373"/>
      <c r="AL18" s="1373"/>
      <c r="AN18" s="1374"/>
      <c r="AP18" s="1374"/>
      <c r="AQ18" s="1373"/>
      <c r="AT18" s="518"/>
      <c r="AU18" s="518"/>
      <c r="AV18" s="518"/>
      <c r="AW18" s="518"/>
      <c r="AX18" s="518"/>
      <c r="AY18" s="1167">
        <v>0</v>
      </c>
    </row>
    <row s="1373" customFormat="1" customHeight="1" ht="14.25" hidden="1">
      <c r="L19" s="1485"/>
      <c r="M19" s="1369"/>
      <c r="N19" s="1369"/>
      <c r="O19" s="1369"/>
      <c r="P19" s="1369"/>
      <c r="Q19" s="1378"/>
      <c r="R19" s="1378"/>
      <c r="S19" s="736"/>
      <c r="W19" s="1373"/>
      <c r="X19" s="1373"/>
      <c r="Y19" s="1373"/>
      <c r="Z19" s="1373"/>
      <c r="AA19" s="1373"/>
      <c r="AF19" s="1373"/>
      <c r="AH19" s="1373"/>
      <c r="AI19" s="1373"/>
      <c r="AJ19" s="1373"/>
      <c r="AK19" s="1373"/>
      <c r="AL19" s="1373"/>
      <c r="AQ19" s="1373"/>
      <c r="AT19" s="518"/>
      <c r="AU19" s="518"/>
      <c r="AV19" s="518"/>
      <c r="AW19" s="518"/>
      <c r="AX19" s="518"/>
      <c r="AY19" s="1167">
        <v>0</v>
      </c>
    </row>
    <row s="1373" customFormat="1" customHeight="1" ht="12" hidden="1">
      <c r="L20" s="1485"/>
      <c r="M20" s="1369"/>
      <c r="N20" s="1369"/>
      <c r="O20" s="1371" t="s">
        <v>579</v>
      </c>
      <c r="P20" s="1369"/>
      <c r="Q20" s="1449"/>
      <c r="R20" s="1449"/>
      <c r="S20" s="736"/>
      <c r="T20" s="1167" t="s">
        <v>580</v>
      </c>
      <c r="W20" s="1373"/>
      <c r="X20" s="1373"/>
      <c r="Y20" s="1373"/>
      <c r="Z20" s="1373"/>
      <c r="AA20" s="1373"/>
      <c r="AD20" s="193" t="s">
        <v>581</v>
      </c>
      <c r="AF20" s="193" t="s">
        <v>582</v>
      </c>
      <c r="AG20" s="1167" t="s">
        <v>580</v>
      </c>
      <c r="AH20" s="1373"/>
      <c r="AI20" s="1373"/>
      <c r="AJ20" s="1373"/>
      <c r="AK20" s="1373"/>
      <c r="AL20" s="1373"/>
      <c r="AO20" s="193" t="s">
        <v>583</v>
      </c>
      <c r="AQ20" s="193" t="s">
        <v>582</v>
      </c>
      <c r="AY20" s="1167">
        <v>0</v>
      </c>
    </row>
    <row customHeight="1" ht="14.25" hidden="1">
      <c r="O21" s="1371"/>
      <c r="AY21" s="1162">
        <v>0</v>
      </c>
    </row>
    <row customHeight="1" ht="14.25" hidden="1">
      <c r="O22" s="1371"/>
      <c r="AY22" s="1162">
        <v>0</v>
      </c>
    </row>
    <row customHeight="1" ht="14.699999999999998">
      <c r="Q23" s="383"/>
      <c r="R23" s="383"/>
      <c r="S23" s="1282"/>
      <c r="T23" s="370"/>
      <c r="U23" s="370"/>
      <c r="V23" s="516"/>
      <c r="W23" s="1642"/>
      <c r="X23" s="1642"/>
      <c r="Y23" s="1642"/>
      <c r="Z23" s="1642"/>
      <c r="AA23" s="1642"/>
      <c r="AB23" s="516"/>
      <c r="AC23" s="516"/>
      <c r="AD23" s="516"/>
      <c r="AE23" s="516"/>
      <c r="AF23" s="516"/>
      <c r="AG23" s="516"/>
      <c r="AH23" s="1642"/>
      <c r="AI23" s="1642"/>
      <c r="AJ23" s="1642"/>
      <c r="AK23" s="1642"/>
      <c r="AL23" s="1642"/>
      <c r="AM23" s="516"/>
      <c r="AN23" s="516"/>
      <c r="AO23" s="516"/>
      <c r="AP23" s="516"/>
      <c r="AQ23" s="516"/>
      <c r="AY23" s="1162">
        <v>14</v>
      </c>
    </row>
    <row customHeight="1" ht="26.25">
      <c r="Q24" s="383"/>
      <c r="R24" s="383"/>
      <c r="S24" s="2255"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5"/>
      <c r="U24" s="2255"/>
      <c r="V24" s="2255"/>
      <c r="W24" s="2255"/>
      <c r="X24" s="2255"/>
      <c r="Y24" s="2255"/>
      <c r="Z24" s="2255"/>
      <c r="AA24" s="2255"/>
      <c r="AB24" s="2255"/>
      <c r="AC24" s="2255"/>
      <c r="AD24" s="2255"/>
      <c r="AE24" s="2255"/>
      <c r="AF24" s="2255"/>
      <c r="AG24" s="2255"/>
      <c r="AH24" s="2255"/>
      <c r="AI24" s="2255"/>
      <c r="AJ24" s="2255"/>
      <c r="AK24" s="2255"/>
      <c r="AL24" s="2255"/>
      <c r="AM24" s="2255"/>
      <c r="AN24" s="2255"/>
      <c r="AO24" s="2255"/>
      <c r="AP24" s="2255"/>
      <c r="AQ24" s="1250"/>
      <c r="AY24" s="1162">
        <v>25</v>
      </c>
    </row>
    <row customHeight="1" ht="14.699999999999998">
      <c r="Q25" s="383"/>
      <c r="R25" s="383"/>
      <c r="S25" s="2256" t="str">
        <f>IF(org=0,"Не определено",org)</f>
        <v>ГУП "Белоблводоканал"</v>
      </c>
      <c r="T25" s="2256"/>
      <c r="U25" s="2256"/>
      <c r="V25" s="2256"/>
      <c r="W25" s="2256"/>
      <c r="X25" s="2256"/>
      <c r="Y25" s="2256"/>
      <c r="Z25" s="2256"/>
      <c r="AA25" s="2256"/>
      <c r="AB25" s="2256"/>
      <c r="AC25" s="2256"/>
      <c r="AD25" s="2256"/>
      <c r="AE25" s="2256"/>
      <c r="AF25" s="2256"/>
      <c r="AG25" s="2256"/>
      <c r="AH25" s="2256"/>
      <c r="AI25" s="2256"/>
      <c r="AJ25" s="2256"/>
      <c r="AK25" s="2256"/>
      <c r="AL25" s="2256"/>
      <c r="AM25" s="2256"/>
      <c r="AN25" s="2256"/>
      <c r="AO25" s="2256"/>
      <c r="AP25" s="2256"/>
      <c r="AQ25" s="1250"/>
      <c r="AY25" s="1162">
        <v>14</v>
      </c>
    </row>
    <row customHeight="1" ht="14.25" hidden="1">
      <c r="Q26" s="383"/>
      <c r="R26" s="383"/>
      <c r="S26" s="1282"/>
      <c r="T26" s="370"/>
      <c r="U26" s="370"/>
      <c r="V26" s="329"/>
      <c r="W26" s="329"/>
      <c r="X26" s="329"/>
      <c r="Y26" s="329"/>
      <c r="Z26" s="329"/>
      <c r="AA26" s="329"/>
      <c r="AB26" s="329"/>
      <c r="AC26" s="329"/>
      <c r="AD26" s="329"/>
      <c r="AE26" s="329"/>
      <c r="AF26" s="329"/>
      <c r="AG26" s="329"/>
      <c r="AH26" s="329"/>
      <c r="AI26" s="329"/>
      <c r="AJ26" s="329"/>
      <c r="AK26" s="329"/>
      <c r="AL26" s="329"/>
      <c r="AM26" s="329"/>
      <c r="AN26" s="329"/>
      <c r="AO26" s="329"/>
      <c r="AP26" s="329"/>
      <c r="AQ26" s="329"/>
      <c r="AR26" s="516"/>
      <c r="AY26" s="1162">
        <v>0</v>
      </c>
    </row>
    <row s="1860" customFormat="1" customHeight="1" ht="25.5" hidden="1">
      <c r="A27" s="1375"/>
      <c r="B27" s="1375"/>
      <c r="C27" s="1375"/>
      <c r="D27" s="1375"/>
      <c r="E27" s="1375"/>
      <c r="F27" s="1375"/>
      <c r="G27" s="1375"/>
      <c r="H27" s="1375"/>
      <c r="I27" s="1375"/>
      <c r="J27" s="1375"/>
      <c r="K27" s="1375"/>
      <c r="L27" s="1376"/>
      <c r="M27" s="1375"/>
      <c r="N27" s="1375"/>
      <c r="O27" s="1375"/>
      <c r="S27" s="2257" t="s">
        <v>42</v>
      </c>
      <c r="T27" s="2257"/>
      <c r="U27" s="1379"/>
      <c r="V27" s="2258" t="str">
        <f>IF(TITLE_NAME_OR_PR_CHANGE="",IF(TITLE_NAME_OR_PR="","",TITLE_NAME_OR_PR),TITLE_NAME_OR_PR_CHANGE)</f>
        <v/>
      </c>
      <c r="W27" s="2258"/>
      <c r="X27" s="2258"/>
      <c r="Y27" s="2258"/>
      <c r="Z27" s="2258"/>
      <c r="AA27" s="2258"/>
      <c r="AB27" s="2258"/>
      <c r="AC27" s="2258"/>
      <c r="AD27" s="2258"/>
      <c r="AE27" s="2258"/>
      <c r="AF27" s="333"/>
      <c r="AG27" s="2258" t="str">
        <f>IF(TITLE_NAME_OR_PR_CHANGE="",IF(TITLE_NAME_OR_PR="","",TITLE_NAME_OR_PR),TITLE_NAME_OR_PR_CHANGE)</f>
        <v/>
      </c>
      <c r="AH27" s="2258"/>
      <c r="AI27" s="2258"/>
      <c r="AJ27" s="2258"/>
      <c r="AK27" s="2258"/>
      <c r="AL27" s="2258"/>
      <c r="AM27" s="2258"/>
      <c r="AN27" s="2258"/>
      <c r="AO27" s="2258"/>
      <c r="AP27" s="2258"/>
      <c r="AQ27" s="333"/>
      <c r="AR27" s="333"/>
      <c r="AS27" s="287"/>
      <c r="AT27" s="375"/>
      <c r="AU27" s="375"/>
      <c r="AV27" s="375"/>
      <c r="AW27" s="375"/>
      <c r="AX27" s="375"/>
      <c r="AY27" s="425">
        <v>0</v>
      </c>
    </row>
    <row s="1860" customFormat="1" customHeight="1" ht="18.75" hidden="1">
      <c r="A28" s="1375"/>
      <c r="B28" s="1375"/>
      <c r="C28" s="1375"/>
      <c r="D28" s="1375"/>
      <c r="E28" s="1375"/>
      <c r="F28" s="1375"/>
      <c r="G28" s="1375"/>
      <c r="H28" s="1375"/>
      <c r="I28" s="1375"/>
      <c r="J28" s="1375"/>
      <c r="K28" s="1375"/>
      <c r="L28" s="1376"/>
      <c r="M28" s="1375"/>
      <c r="N28" s="1375"/>
      <c r="O28" s="1375"/>
      <c r="S28" s="2257" t="s">
        <v>584</v>
      </c>
      <c r="T28" s="2257"/>
      <c r="U28" s="1379"/>
      <c r="V28" s="2271" t="str">
        <f>IF(TITLE_DATE_PR_CHANGE="",IF(TITLE_DATE_PR="","",TITLE_DATE_PR),TITLE_DATE_PR_CHANGE)</f>
        <v>45432</v>
      </c>
      <c r="W28" s="2271"/>
      <c r="X28" s="2271"/>
      <c r="Y28" s="2271"/>
      <c r="Z28" s="2271"/>
      <c r="AA28" s="2271"/>
      <c r="AB28" s="2271"/>
      <c r="AC28" s="2271"/>
      <c r="AD28" s="2271"/>
      <c r="AE28" s="2271"/>
      <c r="AF28" s="333"/>
      <c r="AG28" s="2271" t="str">
        <f>IF(TITLE_DATE_PR_CHANGE="",IF(TITLE_DATE_PR="","",TITLE_DATE_PR),TITLE_DATE_PR_CHANGE)</f>
        <v>45432</v>
      </c>
      <c r="AH28" s="2271"/>
      <c r="AI28" s="2271"/>
      <c r="AJ28" s="2271"/>
      <c r="AK28" s="2271"/>
      <c r="AL28" s="2271"/>
      <c r="AM28" s="2271"/>
      <c r="AN28" s="2271"/>
      <c r="AO28" s="2271"/>
      <c r="AP28" s="2271"/>
      <c r="AQ28" s="333"/>
      <c r="AR28" s="333"/>
      <c r="AS28" s="287"/>
      <c r="AT28" s="375"/>
      <c r="AU28" s="375"/>
      <c r="AV28" s="375"/>
      <c r="AW28" s="375"/>
      <c r="AX28" s="375"/>
      <c r="AY28" s="425">
        <v>0</v>
      </c>
    </row>
    <row s="1860" customFormat="1" customHeight="1" ht="18.75" hidden="1">
      <c r="A29" s="1375"/>
      <c r="B29" s="1375"/>
      <c r="C29" s="1375"/>
      <c r="D29" s="1375"/>
      <c r="E29" s="1375"/>
      <c r="F29" s="1375"/>
      <c r="G29" s="1375"/>
      <c r="H29" s="1375"/>
      <c r="I29" s="1375"/>
      <c r="J29" s="1375"/>
      <c r="K29" s="1375"/>
      <c r="L29" s="1376"/>
      <c r="M29" s="1375"/>
      <c r="N29" s="1375"/>
      <c r="O29" s="1375"/>
      <c r="S29" s="2257" t="s">
        <v>585</v>
      </c>
      <c r="T29" s="2257"/>
      <c r="U29" s="1379"/>
      <c r="V29" s="2258" t="str">
        <f>IF(TITLE_NUMBER_PR_CHANGE="",IF(TITLE_NUMBER_PR="","",TITLE_NUMBER_PR),TITLE_NUMBER_PR_CHANGE)</f>
        <v>29-12/1427</v>
      </c>
      <c r="W29" s="2258"/>
      <c r="X29" s="2258"/>
      <c r="Y29" s="2258"/>
      <c r="Z29" s="2258"/>
      <c r="AA29" s="2258"/>
      <c r="AB29" s="2258"/>
      <c r="AC29" s="2258"/>
      <c r="AD29" s="2258"/>
      <c r="AE29" s="2258"/>
      <c r="AF29" s="333"/>
      <c r="AG29" s="2258" t="str">
        <f>IF(TITLE_NUMBER_PR_CHANGE="",IF(TITLE_NUMBER_PR="","",TITLE_NUMBER_PR),TITLE_NUMBER_PR_CHANGE)</f>
        <v>29-12/1427</v>
      </c>
      <c r="AH29" s="2258"/>
      <c r="AI29" s="2258"/>
      <c r="AJ29" s="2258"/>
      <c r="AK29" s="2258"/>
      <c r="AL29" s="2258"/>
      <c r="AM29" s="2258"/>
      <c r="AN29" s="2258"/>
      <c r="AO29" s="2258"/>
      <c r="AP29" s="2258"/>
      <c r="AQ29" s="333"/>
      <c r="AR29" s="333"/>
      <c r="AS29" s="287"/>
      <c r="AT29" s="375"/>
      <c r="AU29" s="375"/>
      <c r="AV29" s="375"/>
      <c r="AW29" s="375"/>
      <c r="AX29" s="375"/>
      <c r="AY29" s="425">
        <v>0</v>
      </c>
    </row>
    <row s="1860" customFormat="1" customHeight="1" ht="18.75" hidden="1">
      <c r="A30" s="1375"/>
      <c r="B30" s="1375"/>
      <c r="C30" s="1375"/>
      <c r="D30" s="1375"/>
      <c r="E30" s="1375"/>
      <c r="F30" s="1375"/>
      <c r="G30" s="1375"/>
      <c r="H30" s="1375"/>
      <c r="I30" s="1375"/>
      <c r="J30" s="1375"/>
      <c r="K30" s="1375"/>
      <c r="L30" s="1376"/>
      <c r="M30" s="1375"/>
      <c r="N30" s="1375"/>
      <c r="O30" s="1375"/>
      <c r="S30" s="2257" t="s">
        <v>43</v>
      </c>
      <c r="T30" s="2257"/>
      <c r="U30" s="1379"/>
      <c r="V30" s="2258" t="str">
        <f>IF(TITLE_IST_PUB_CHANGE="",IF(TITLE_IST_PUB="","",TITLE_IST_PUB),TITLE_IST_PUB_CHANGE)</f>
        <v/>
      </c>
      <c r="W30" s="2258"/>
      <c r="X30" s="2258"/>
      <c r="Y30" s="2258"/>
      <c r="Z30" s="2258"/>
      <c r="AA30" s="2258"/>
      <c r="AB30" s="2258"/>
      <c r="AC30" s="2258"/>
      <c r="AD30" s="2258"/>
      <c r="AE30" s="2258"/>
      <c r="AF30" s="333"/>
      <c r="AG30" s="2258" t="str">
        <f>IF(TITLE_IST_PUB_CHANGE="",IF(TITLE_IST_PUB="","",TITLE_IST_PUB),TITLE_IST_PUB_CHANGE)</f>
        <v/>
      </c>
      <c r="AH30" s="2258"/>
      <c r="AI30" s="2258"/>
      <c r="AJ30" s="2258"/>
      <c r="AK30" s="2258"/>
      <c r="AL30" s="2258"/>
      <c r="AM30" s="2258"/>
      <c r="AN30" s="2258"/>
      <c r="AO30" s="2258"/>
      <c r="AP30" s="2258"/>
      <c r="AQ30" s="333"/>
      <c r="AR30" s="333"/>
      <c r="AS30" s="287"/>
      <c r="AT30" s="375"/>
      <c r="AU30" s="375"/>
      <c r="AV30" s="375"/>
      <c r="AW30" s="375"/>
      <c r="AX30" s="375"/>
      <c r="AY30" s="425">
        <v>0</v>
      </c>
    </row>
    <row customHeight="1" ht="14.25">
      <c r="Q31" s="383"/>
      <c r="R31" s="383"/>
      <c r="S31" s="1282"/>
      <c r="T31" s="370"/>
      <c r="U31" s="370"/>
      <c r="V31" s="329"/>
      <c r="W31" s="329"/>
      <c r="X31" s="329"/>
      <c r="Y31" s="329"/>
      <c r="Z31" s="329"/>
      <c r="AA31" s="329"/>
      <c r="AB31" s="329"/>
      <c r="AC31" s="329"/>
      <c r="AD31" s="329"/>
      <c r="AE31" s="329"/>
      <c r="AF31" s="329"/>
      <c r="AG31" s="329"/>
      <c r="AH31" s="329"/>
      <c r="AI31" s="329"/>
      <c r="AJ31" s="329"/>
      <c r="AK31" s="329"/>
      <c r="AL31" s="329"/>
      <c r="AM31" s="329"/>
      <c r="AN31" s="329"/>
      <c r="AO31" s="329"/>
      <c r="AP31" s="329"/>
      <c r="AQ31" s="329"/>
      <c r="AR31" s="516"/>
      <c r="AY31" s="1162">
        <v>0</v>
      </c>
    </row>
    <row s="1860" customFormat="1" customHeight="1" ht="18.75">
      <c r="A32" s="1375"/>
      <c r="B32" s="1375"/>
      <c r="C32" s="1375"/>
      <c r="D32" s="1375"/>
      <c r="E32" s="1375"/>
      <c r="F32" s="1375"/>
      <c r="G32" s="1375"/>
      <c r="H32" s="1375"/>
      <c r="I32" s="1375"/>
      <c r="J32" s="1375"/>
      <c r="K32" s="1375"/>
      <c r="L32" s="1376"/>
      <c r="M32" s="1375"/>
      <c r="N32" s="1375"/>
      <c r="O32" s="1375"/>
      <c r="S32" s="2257" t="s">
        <v>586</v>
      </c>
      <c r="T32" s="2257"/>
      <c r="U32" s="1379"/>
      <c r="V32" s="2271" t="str">
        <f>IF(TITLE_DATE_PR_CHANGE="",IF(TITLE_DATE_PR="","",TITLE_DATE_PR),TITLE_DATE_PR_CHANGE)</f>
        <v>45432</v>
      </c>
      <c r="W32" s="2271"/>
      <c r="X32" s="2271"/>
      <c r="Y32" s="2271"/>
      <c r="Z32" s="2271"/>
      <c r="AA32" s="2271"/>
      <c r="AB32" s="2271"/>
      <c r="AC32" s="2271"/>
      <c r="AD32" s="2271"/>
      <c r="AE32" s="2271"/>
      <c r="AF32" s="333"/>
      <c r="AG32" s="2271" t="str">
        <f>IF(TITLE_DATE_PR_CHANGE="",IF(TITLE_DATE_PR="","",TITLE_DATE_PR),TITLE_DATE_PR_CHANGE)</f>
        <v>45432</v>
      </c>
      <c r="AH32" s="2271"/>
      <c r="AI32" s="2271"/>
      <c r="AJ32" s="2271"/>
      <c r="AK32" s="2271"/>
      <c r="AL32" s="2271"/>
      <c r="AM32" s="2271"/>
      <c r="AN32" s="2271"/>
      <c r="AO32" s="2271"/>
      <c r="AP32" s="2271"/>
      <c r="AQ32" s="333"/>
      <c r="AR32" s="333"/>
      <c r="AS32" s="287"/>
      <c r="AT32" s="375"/>
      <c r="AU32" s="375"/>
      <c r="AV32" s="375"/>
      <c r="AW32" s="375"/>
      <c r="AX32" s="375"/>
      <c r="AY32" s="425">
        <v>0</v>
      </c>
    </row>
    <row s="1860" customFormat="1" customHeight="1" ht="18.75">
      <c r="A33" s="1375"/>
      <c r="B33" s="1375"/>
      <c r="C33" s="1375"/>
      <c r="D33" s="1375"/>
      <c r="E33" s="1375"/>
      <c r="F33" s="1375"/>
      <c r="G33" s="1375"/>
      <c r="H33" s="1375"/>
      <c r="I33" s="1375"/>
      <c r="J33" s="1375"/>
      <c r="K33" s="1375"/>
      <c r="L33" s="1376"/>
      <c r="M33" s="1375"/>
      <c r="N33" s="1375"/>
      <c r="O33" s="1375"/>
      <c r="S33" s="2257" t="s">
        <v>587</v>
      </c>
      <c r="T33" s="2257"/>
      <c r="U33" s="1379"/>
      <c r="V33" s="2258" t="str">
        <f>IF(TITLE_NUMBER_PR_CHANGE="",IF(TITLE_NUMBER_PR="","",TITLE_NUMBER_PR),TITLE_NUMBER_PR_CHANGE)</f>
        <v>29-12/1427</v>
      </c>
      <c r="W33" s="2258"/>
      <c r="X33" s="2258"/>
      <c r="Y33" s="2258"/>
      <c r="Z33" s="2258"/>
      <c r="AA33" s="2258"/>
      <c r="AB33" s="2258"/>
      <c r="AC33" s="2258"/>
      <c r="AD33" s="2258"/>
      <c r="AE33" s="2258"/>
      <c r="AF33" s="333"/>
      <c r="AG33" s="2258" t="str">
        <f>IF(TITLE_NUMBER_PR_CHANGE="",IF(TITLE_NUMBER_PR="","",TITLE_NUMBER_PR),TITLE_NUMBER_PR_CHANGE)</f>
        <v>29-12/1427</v>
      </c>
      <c r="AH33" s="2258"/>
      <c r="AI33" s="2258"/>
      <c r="AJ33" s="2258"/>
      <c r="AK33" s="2258"/>
      <c r="AL33" s="2258"/>
      <c r="AM33" s="2258"/>
      <c r="AN33" s="2258"/>
      <c r="AO33" s="2258"/>
      <c r="AP33" s="2258"/>
      <c r="AQ33" s="333"/>
      <c r="AR33" s="333"/>
      <c r="AS33" s="287"/>
      <c r="AT33" s="375"/>
      <c r="AU33" s="375"/>
      <c r="AV33" s="375"/>
      <c r="AW33" s="375"/>
      <c r="AX33" s="375"/>
      <c r="AY33" s="425">
        <v>0</v>
      </c>
    </row>
    <row s="1860" customFormat="1" customHeight="1" ht="1.05">
      <c r="A34" s="1375"/>
      <c r="B34" s="1375"/>
      <c r="C34" s="1375"/>
      <c r="D34" s="1375"/>
      <c r="E34" s="1375"/>
      <c r="F34" s="1375"/>
      <c r="G34" s="1375"/>
      <c r="H34" s="1375"/>
      <c r="I34" s="1375"/>
      <c r="J34" s="1375"/>
      <c r="K34" s="1375"/>
      <c r="L34" s="1376"/>
      <c r="M34" s="1375"/>
      <c r="N34" s="1375"/>
      <c r="O34" s="1375"/>
      <c r="S34" s="330"/>
      <c r="T34" s="330"/>
      <c r="U34" s="1495"/>
      <c r="V34" s="333"/>
      <c r="W34" s="1642"/>
      <c r="X34" s="1642"/>
      <c r="Y34" s="1642"/>
      <c r="Z34" s="1642"/>
      <c r="AA34" s="1642"/>
      <c r="AB34" s="333"/>
      <c r="AC34" s="333"/>
      <c r="AD34" s="333"/>
      <c r="AE34" s="333"/>
      <c r="AF34" s="285" t="s">
        <v>588</v>
      </c>
      <c r="AG34" s="333"/>
      <c r="AH34" s="1642"/>
      <c r="AI34" s="1642"/>
      <c r="AJ34" s="1642"/>
      <c r="AK34" s="1642"/>
      <c r="AL34" s="1642"/>
      <c r="AM34" s="333"/>
      <c r="AN34" s="333"/>
      <c r="AO34" s="333"/>
      <c r="AP34" s="333"/>
      <c r="AQ34" s="285" t="s">
        <v>588</v>
      </c>
      <c r="AT34" s="375"/>
      <c r="AU34" s="375"/>
      <c r="AV34" s="375"/>
      <c r="AW34" s="375"/>
      <c r="AX34" s="375"/>
      <c r="AY34" s="425">
        <v>1</v>
      </c>
    </row>
    <row customHeight="1" ht="14.699999999999998">
      <c r="Q35" s="383"/>
      <c r="R35" s="383"/>
      <c r="S35" s="1282"/>
      <c r="T35" s="370"/>
      <c r="U35" s="1251"/>
      <c r="V35" s="2259"/>
      <c r="W35" s="2259"/>
      <c r="X35" s="2259"/>
      <c r="Y35" s="2259"/>
      <c r="Z35" s="2259"/>
      <c r="AA35" s="2259"/>
      <c r="AB35" s="2259"/>
      <c r="AC35" s="2259"/>
      <c r="AD35" s="2259"/>
      <c r="AE35" s="2259"/>
      <c r="AF35" s="2259"/>
      <c r="AG35" s="2259"/>
      <c r="AH35" s="2259"/>
      <c r="AI35" s="2259"/>
      <c r="AJ35" s="2259"/>
      <c r="AK35" s="2259"/>
      <c r="AL35" s="2259"/>
      <c r="AM35" s="2259"/>
      <c r="AN35" s="2259"/>
      <c r="AO35" s="2259"/>
      <c r="AP35" s="2259"/>
      <c r="AQ35" s="2259"/>
      <c r="AY35" s="1162">
        <v>14</v>
      </c>
    </row>
    <row customHeight="1" ht="14.699999999999998">
      <c r="Q36" s="383"/>
      <c r="R36" s="383"/>
      <c r="S36" s="2134" t="s">
        <v>463</v>
      </c>
      <c r="T36" s="2134"/>
      <c r="U36" s="2134"/>
      <c r="V36" s="2134"/>
      <c r="W36" s="2134"/>
      <c r="X36" s="2134"/>
      <c r="Y36" s="2134"/>
      <c r="Z36" s="2134"/>
      <c r="AA36" s="2134"/>
      <c r="AB36" s="2134"/>
      <c r="AC36" s="2134"/>
      <c r="AD36" s="2134"/>
      <c r="AE36" s="2134"/>
      <c r="AF36" s="2134"/>
      <c r="AG36" s="2134"/>
      <c r="AH36" s="2134"/>
      <c r="AI36" s="2134"/>
      <c r="AJ36" s="2134"/>
      <c r="AK36" s="2134"/>
      <c r="AL36" s="2134"/>
      <c r="AM36" s="2134"/>
      <c r="AN36" s="2134"/>
      <c r="AO36" s="2134"/>
      <c r="AP36" s="2134"/>
      <c r="AQ36" s="2134"/>
      <c r="AR36" s="2134"/>
      <c r="AS36" s="2134" t="s">
        <v>464</v>
      </c>
      <c r="AY36" s="1162">
        <v>14</v>
      </c>
    </row>
    <row customHeight="1" ht="14.699999999999998">
      <c r="Q37" s="383"/>
      <c r="R37" s="383"/>
      <c r="S37" s="2280" t="s">
        <v>88</v>
      </c>
      <c r="T37" s="2216" t="s">
        <v>589</v>
      </c>
      <c r="U37" s="308"/>
      <c r="V37" s="2281" t="s">
        <v>590</v>
      </c>
      <c r="W37" s="2282"/>
      <c r="X37" s="2282"/>
      <c r="Y37" s="2282"/>
      <c r="Z37" s="2282"/>
      <c r="AA37" s="2282"/>
      <c r="AB37" s="2282"/>
      <c r="AC37" s="2282"/>
      <c r="AD37" s="2282"/>
      <c r="AE37" s="2283"/>
      <c r="AF37" s="2284" t="s">
        <v>591</v>
      </c>
      <c r="AG37" s="2281" t="s">
        <v>590</v>
      </c>
      <c r="AH37" s="2282"/>
      <c r="AI37" s="2282"/>
      <c r="AJ37" s="2282"/>
      <c r="AK37" s="2282"/>
      <c r="AL37" s="2282"/>
      <c r="AM37" s="2282"/>
      <c r="AN37" s="2282"/>
      <c r="AO37" s="2282"/>
      <c r="AP37" s="2283"/>
      <c r="AQ37" s="2284" t="s">
        <v>592</v>
      </c>
      <c r="AR37" s="2287" t="s">
        <v>593</v>
      </c>
      <c r="AS37" s="2134"/>
      <c r="AY37" s="1162">
        <v>14</v>
      </c>
    </row>
    <row s="1642" customFormat="1" customHeight="1" ht="19.95">
      <c r="A38" s="1373"/>
      <c r="B38" s="1373"/>
      <c r="C38" s="1373"/>
      <c r="D38" s="1373"/>
      <c r="E38" s="1373"/>
      <c r="F38" s="1373"/>
      <c r="G38" s="1373"/>
      <c r="H38" s="1373"/>
      <c r="I38" s="1373"/>
      <c r="J38" s="1373"/>
      <c r="K38" s="1373"/>
      <c r="L38" s="1987"/>
      <c r="M38" s="1369"/>
      <c r="N38" s="1369"/>
      <c r="O38" s="1369"/>
      <c r="P38" s="1988"/>
      <c r="Q38" s="383"/>
      <c r="R38" s="383"/>
      <c r="S38" s="2280"/>
      <c r="T38" s="2216"/>
      <c r="U38" s="1038"/>
      <c r="V38" s="2373" t="s">
        <v>694</v>
      </c>
      <c r="W38" s="2372" t="s">
        <v>695</v>
      </c>
      <c r="X38" s="2372"/>
      <c r="Y38" s="2372"/>
      <c r="Z38" s="2372" t="s">
        <v>696</v>
      </c>
      <c r="AA38" s="2372"/>
      <c r="AB38" s="2372"/>
      <c r="AC38" s="2301" t="s">
        <v>597</v>
      </c>
      <c r="AD38" s="2320"/>
      <c r="AE38" s="2321"/>
      <c r="AF38" s="2285"/>
      <c r="AG38" s="2373" t="s">
        <v>694</v>
      </c>
      <c r="AH38" s="2372" t="s">
        <v>695</v>
      </c>
      <c r="AI38" s="2372"/>
      <c r="AJ38" s="2372"/>
      <c r="AK38" s="2372" t="s">
        <v>696</v>
      </c>
      <c r="AL38" s="2372"/>
      <c r="AM38" s="2372"/>
      <c r="AN38" s="2301" t="s">
        <v>597</v>
      </c>
      <c r="AO38" s="2320"/>
      <c r="AP38" s="2321"/>
      <c r="AQ38" s="2285"/>
      <c r="AR38" s="2288"/>
      <c r="AS38" s="2134"/>
      <c r="AT38" s="1643"/>
      <c r="AU38" s="1643"/>
      <c r="AV38" s="1643"/>
      <c r="AW38" s="1643"/>
      <c r="AX38" s="1643"/>
      <c r="AY38" s="1638">
        <v>19</v>
      </c>
    </row>
    <row customHeight="1" ht="19.95">
      <c r="Q39" s="383"/>
      <c r="R39" s="383"/>
      <c r="S39" s="2280"/>
      <c r="T39" s="2216"/>
      <c r="U39" s="1038"/>
      <c r="V39" s="2373"/>
      <c r="W39" s="2372" t="s">
        <v>697</v>
      </c>
      <c r="X39" s="2372" t="s">
        <v>698</v>
      </c>
      <c r="Y39" s="2372"/>
      <c r="Z39" s="2372" t="s">
        <v>699</v>
      </c>
      <c r="AA39" s="2372" t="s">
        <v>698</v>
      </c>
      <c r="AB39" s="2372"/>
      <c r="AC39" s="2302"/>
      <c r="AD39" s="2322"/>
      <c r="AE39" s="2323"/>
      <c r="AF39" s="2285"/>
      <c r="AG39" s="2373"/>
      <c r="AH39" s="2372" t="s">
        <v>697</v>
      </c>
      <c r="AI39" s="2372" t="s">
        <v>698</v>
      </c>
      <c r="AJ39" s="2372"/>
      <c r="AK39" s="2372" t="s">
        <v>699</v>
      </c>
      <c r="AL39" s="2372" t="s">
        <v>698</v>
      </c>
      <c r="AM39" s="2372"/>
      <c r="AN39" s="2302"/>
      <c r="AO39" s="2322"/>
      <c r="AP39" s="2323"/>
      <c r="AQ39" s="2285"/>
      <c r="AR39" s="2288"/>
      <c r="AS39" s="2134"/>
      <c r="AY39" s="1162">
        <v>19</v>
      </c>
    </row>
    <row customHeight="1" ht="61.949999999999996">
      <c r="A40" s="1377"/>
      <c r="B40" s="1377" t="s">
        <v>227</v>
      </c>
      <c r="C40" s="1377" t="s">
        <v>228</v>
      </c>
      <c r="D40" s="1377" t="s">
        <v>229</v>
      </c>
      <c r="E40" s="1371" t="s">
        <v>598</v>
      </c>
      <c r="F40" s="1371" t="s">
        <v>599</v>
      </c>
      <c r="G40" s="1371" t="s">
        <v>600</v>
      </c>
      <c r="H40" s="1371"/>
      <c r="I40" s="1371" t="s">
        <v>650</v>
      </c>
      <c r="J40" s="1371" t="s">
        <v>603</v>
      </c>
      <c r="K40" s="1371" t="s">
        <v>651</v>
      </c>
      <c r="L40" s="1371" t="s">
        <v>579</v>
      </c>
      <c r="Q40" s="383"/>
      <c r="R40" s="383"/>
      <c r="S40" s="2280"/>
      <c r="T40" s="2216"/>
      <c r="U40" s="309"/>
      <c r="V40" s="2373"/>
      <c r="W40" s="2372"/>
      <c r="X40" s="1990" t="s">
        <v>700</v>
      </c>
      <c r="Y40" s="1990" t="s">
        <v>701</v>
      </c>
      <c r="Z40" s="2372"/>
      <c r="AA40" s="1990" t="s">
        <v>702</v>
      </c>
      <c r="AB40" s="1990" t="s">
        <v>703</v>
      </c>
      <c r="AC40" s="1496" t="s">
        <v>607</v>
      </c>
      <c r="AD40" s="2277" t="s">
        <v>608</v>
      </c>
      <c r="AE40" s="2278"/>
      <c r="AF40" s="2286"/>
      <c r="AG40" s="2373"/>
      <c r="AH40" s="2372"/>
      <c r="AI40" s="1990" t="s">
        <v>700</v>
      </c>
      <c r="AJ40" s="1990" t="s">
        <v>701</v>
      </c>
      <c r="AK40" s="2372"/>
      <c r="AL40" s="1990" t="s">
        <v>702</v>
      </c>
      <c r="AM40" s="1990" t="s">
        <v>703</v>
      </c>
      <c r="AN40" s="1496" t="s">
        <v>607</v>
      </c>
      <c r="AO40" s="2277" t="s">
        <v>608</v>
      </c>
      <c r="AP40" s="2278"/>
      <c r="AQ40" s="2286"/>
      <c r="AR40" s="2289"/>
      <c r="AS40" s="2134"/>
      <c r="AY40" s="1162">
        <v>59</v>
      </c>
    </row>
    <row s="1648" customFormat="1" customHeight="1" ht="11.25" hidden="1">
      <c r="A41" s="1377"/>
      <c r="B41" s="1377"/>
      <c r="C41" s="1377"/>
      <c r="D41" s="1377"/>
      <c r="E41" s="1377"/>
      <c r="F41" s="1377"/>
      <c r="G41" s="1377"/>
      <c r="H41" s="1377"/>
      <c r="I41" s="1377"/>
      <c r="J41" s="1377"/>
      <c r="K41" s="1377"/>
      <c r="L41" s="1371"/>
      <c r="M41" s="1369"/>
      <c r="N41" s="1369"/>
      <c r="O41" s="1369"/>
      <c r="P41" s="1253"/>
      <c r="Q41" s="1254"/>
      <c r="R41" s="1261">
        <v>1</v>
      </c>
      <c r="S41" s="1284" t="s">
        <v>108</v>
      </c>
      <c r="T41" s="1262" t="s">
        <v>99</v>
      </c>
      <c r="U41" s="1252" t="str">
        <f>OFFSET(U41,0,-1)</f>
        <v>2</v>
      </c>
      <c r="V41" s="1489">
        <f>OFFSET(V41,0,-1)+1</f>
        <v>3</v>
      </c>
      <c r="W41" s="1986"/>
      <c r="X41" s="1986"/>
      <c r="Y41" s="1986"/>
      <c r="Z41" s="1986"/>
      <c r="AA41" s="1986"/>
      <c r="AB41" s="1489">
        <f>OFFSET(AB41,0,-1)+1</f>
        <v>1</v>
      </c>
      <c r="AC41" s="1489">
        <f>OFFSET(AC41,0,-1)+1</f>
        <v>2</v>
      </c>
      <c r="AD41" s="2279">
        <f>OFFSET(AD41,0,-1)+1</f>
        <v>3</v>
      </c>
      <c r="AE41" s="2279"/>
      <c r="AF41" s="1489">
        <f>OFFSET(AF41,0,-2)+1</f>
        <v>4</v>
      </c>
      <c r="AG41" s="1489">
        <f>OFFSET(AG41,0,-1)+1</f>
        <v>5</v>
      </c>
      <c r="AH41" s="1986"/>
      <c r="AI41" s="1986"/>
      <c r="AJ41" s="1986"/>
      <c r="AK41" s="1986"/>
      <c r="AL41" s="1986"/>
      <c r="AM41" s="1489">
        <f>OFFSET(AM41,0,-1)+1</f>
        <v>1</v>
      </c>
      <c r="AN41" s="1489">
        <f>OFFSET(AN41,0,-1)+1</f>
        <v>2</v>
      </c>
      <c r="AO41" s="2279">
        <f>OFFSET(AO41,0,-1)+1</f>
        <v>3</v>
      </c>
      <c r="AP41" s="2279"/>
      <c r="AQ41" s="1489">
        <f>OFFSET(AQ41,0,-2)+1</f>
        <v>4</v>
      </c>
      <c r="AR41" s="1252">
        <f>OFFSET(AR41,0,-1)</f>
        <v>4</v>
      </c>
      <c r="AS41" s="1489">
        <f>OFFSET(AS41,0,-1)+1</f>
        <v>5</v>
      </c>
      <c r="AT41" s="518"/>
      <c r="AU41" s="518"/>
      <c r="AV41" s="518"/>
      <c r="AW41" s="518"/>
      <c r="AX41" s="518"/>
      <c r="AY41" s="503">
        <v>0</v>
      </c>
    </row>
    <row customHeight="1" ht="24">
      <c r="A42" s="1370" t="s">
        <v>419</v>
      </c>
      <c r="B42" s="1370"/>
      <c r="C42" s="1370"/>
      <c r="D42" s="1370"/>
      <c r="E42" s="2265">
        <v>1</v>
      </c>
      <c r="F42" s="1370"/>
      <c r="G42" s="1370"/>
      <c r="H42" s="1370"/>
      <c r="I42" s="1370"/>
      <c r="J42" s="1370"/>
      <c r="K42" s="1370"/>
      <c r="L42" s="1371"/>
      <c r="M42" s="1372"/>
      <c r="N42" s="1372"/>
      <c r="O42" s="1372"/>
      <c r="P42" s="368"/>
      <c r="Q42" s="367"/>
      <c r="R42" s="362"/>
      <c r="S42" s="1500">
        <f>INDEX(PT_DIFFERENTIATION_NUM_NTAR,MATCH(A42,PT_DIFFERENTIATION_NTAR_ID,0))</f>
        <v>0</v>
      </c>
      <c r="T42" s="305" t="s">
        <v>215</v>
      </c>
      <c r="U42" s="307"/>
      <c r="V42" s="2249"/>
      <c r="W42" s="2250"/>
      <c r="X42" s="2250"/>
      <c r="Y42" s="2250"/>
      <c r="Z42" s="2250"/>
      <c r="AA42" s="2250"/>
      <c r="AB42" s="2250"/>
      <c r="AC42" s="2250"/>
      <c r="AD42" s="2250"/>
      <c r="AE42" s="2250"/>
      <c r="AF42" s="2251"/>
      <c r="AG42" s="2249" t="str">
        <f>INDEX(PT_DIFFERENTIATION_NTAR,MATCH(A42,PT_DIFFERENTIATION_NTAR_ID,0))</f>
        <v/>
      </c>
      <c r="AH42" s="2250"/>
      <c r="AI42" s="2250"/>
      <c r="AJ42" s="2250"/>
      <c r="AK42" s="2250"/>
      <c r="AL42" s="2250"/>
      <c r="AM42" s="2250"/>
      <c r="AN42" s="2250"/>
      <c r="AO42" s="2250"/>
      <c r="AP42" s="2250"/>
      <c r="AQ42" s="2250"/>
      <c r="AR42" s="2251"/>
      <c r="AS4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7"/>
      <c r="AV42" s="507" t="str">
        <f>IF(T42="","",T42)</f>
        <v>Наименование тарифа</v>
      </c>
      <c r="AW42" s="507"/>
      <c r="AX42" s="507"/>
      <c r="AY42" s="1162">
        <v>23</v>
      </c>
    </row>
    <row customHeight="1" ht="24">
      <c r="A43" s="1370" t="s">
        <v>419</v>
      </c>
      <c r="B43" s="1370" t="s">
        <v>420</v>
      </c>
      <c r="C43" s="1370"/>
      <c r="D43" s="1370"/>
      <c r="E43" s="2266"/>
      <c r="F43" s="2265">
        <v>1</v>
      </c>
      <c r="G43" s="1370"/>
      <c r="H43" s="1370"/>
      <c r="I43" s="1370"/>
      <c r="J43" s="1370"/>
      <c r="K43" s="1370"/>
      <c r="L43" s="1371"/>
      <c r="M43" s="1372"/>
      <c r="N43" s="1372"/>
      <c r="O43" s="1372"/>
      <c r="P43" s="1494"/>
      <c r="Q43" s="359"/>
      <c r="R43" s="360"/>
      <c r="S43" s="1500" t="str">
        <f>INDEX(PT_DIFFERENTIATION_NUM_TER,MATCH(B43,PT_DIFFERENTIATION_TER_ID,0))</f>
        <v>.</v>
      </c>
      <c r="T43" s="315" t="s">
        <v>560</v>
      </c>
      <c r="U43" s="307"/>
      <c r="V43" s="2249"/>
      <c r="W43" s="2250"/>
      <c r="X43" s="2250"/>
      <c r="Y43" s="2250"/>
      <c r="Z43" s="2250"/>
      <c r="AA43" s="2250"/>
      <c r="AB43" s="2250"/>
      <c r="AC43" s="2250"/>
      <c r="AD43" s="2250"/>
      <c r="AE43" s="2250"/>
      <c r="AF43" s="2251"/>
      <c r="AG43" s="2249" t="str">
        <f>INDEX(PT_DIFFERENTIATION_TER,MATCH(B43,PT_DIFFERENTIATION_TER_ID,0))</f>
        <v/>
      </c>
      <c r="AH43" s="2250"/>
      <c r="AI43" s="2250"/>
      <c r="AJ43" s="2250"/>
      <c r="AK43" s="2250"/>
      <c r="AL43" s="2250"/>
      <c r="AM43" s="2250"/>
      <c r="AN43" s="2250"/>
      <c r="AO43" s="2250"/>
      <c r="AP43" s="2250"/>
      <c r="AQ43" s="2250"/>
      <c r="AR43" s="2251"/>
      <c r="AS43" s="1265" t="s">
        <v>561</v>
      </c>
      <c r="AU43" s="507"/>
      <c r="AV43" s="507" t="str">
        <f>IF(T43="","",T43)</f>
        <v>Территория действия тарифа</v>
      </c>
      <c r="AW43" s="507"/>
      <c r="AX43" s="507"/>
      <c r="AY43" s="1162">
        <v>23</v>
      </c>
    </row>
    <row customHeight="1" ht="24">
      <c r="A44" s="1370" t="s">
        <v>419</v>
      </c>
      <c r="B44" s="1370" t="s">
        <v>420</v>
      </c>
      <c r="C44" s="1370" t="s">
        <v>421</v>
      </c>
      <c r="D44" s="1370"/>
      <c r="E44" s="2266"/>
      <c r="F44" s="2266"/>
      <c r="G44" s="2265">
        <v>1</v>
      </c>
      <c r="H44" s="1370"/>
      <c r="I44" s="1370"/>
      <c r="J44" s="1370"/>
      <c r="K44" s="1370"/>
      <c r="L44" s="1371"/>
      <c r="M44" s="1372"/>
      <c r="N44" s="1372"/>
      <c r="O44" s="1372"/>
      <c r="P44" s="361"/>
      <c r="Q44" s="359"/>
      <c r="R44" s="360"/>
      <c r="S44" s="1500" t="str">
        <f>INDEX(PT_DIFFERENTIATION_NUM_CS,MATCH(C44,PT_DIFFERENTIATION_CS_ID,0))</f>
        <v>..</v>
      </c>
      <c r="T44" s="316" t="s">
        <v>692</v>
      </c>
      <c r="U44" s="307"/>
      <c r="V44" s="2249"/>
      <c r="W44" s="2250"/>
      <c r="X44" s="2250"/>
      <c r="Y44" s="2250"/>
      <c r="Z44" s="2250"/>
      <c r="AA44" s="2250"/>
      <c r="AB44" s="2250"/>
      <c r="AC44" s="2250"/>
      <c r="AD44" s="2250"/>
      <c r="AE44" s="2250"/>
      <c r="AF44" s="2251"/>
      <c r="AG44" s="2249" t="str">
        <f>INDEX(PT_DIFFERENTIATION_CS,MATCH(C44,PT_DIFFERENTIATION_CS_ID,0))</f>
        <v/>
      </c>
      <c r="AH44" s="2250"/>
      <c r="AI44" s="2250"/>
      <c r="AJ44" s="2250"/>
      <c r="AK44" s="2250"/>
      <c r="AL44" s="2250"/>
      <c r="AM44" s="2250"/>
      <c r="AN44" s="2250"/>
      <c r="AO44" s="2250"/>
      <c r="AP44" s="2250"/>
      <c r="AQ44" s="2250"/>
      <c r="AR44" s="2251"/>
      <c r="AS44" s="1265" t="s">
        <v>693</v>
      </c>
      <c r="AU44" s="507"/>
      <c r="AV44" s="507" t="str">
        <f>IF(T44="","",T44)</f>
        <v>Наименование централизованной системы горячего водоснабжения</v>
      </c>
      <c r="AW44" s="507"/>
      <c r="AX44" s="507"/>
      <c r="AY44" s="1162">
        <v>23</v>
      </c>
    </row>
    <row customHeight="1" ht="24">
      <c r="A45" s="1370" t="s">
        <v>419</v>
      </c>
      <c r="B45" s="1370" t="s">
        <v>420</v>
      </c>
      <c r="C45" s="1370" t="s">
        <v>421</v>
      </c>
      <c r="D45" s="1370" t="s">
        <v>705</v>
      </c>
      <c r="E45" s="2266"/>
      <c r="F45" s="2266"/>
      <c r="G45" s="2266"/>
      <c r="H45" s="2266"/>
      <c r="I45" s="2263" t="str">
        <f>S44&amp;".1"</f>
        <v>...1</v>
      </c>
      <c r="J45" s="1370"/>
      <c r="K45" s="1370"/>
      <c r="L45" s="1371"/>
      <c r="P45" s="2264">
        <v>1</v>
      </c>
      <c r="Q45" s="1488"/>
      <c r="R45" s="363"/>
      <c r="S45" s="1500" t="str">
        <f>$I45</f>
        <v>...1</v>
      </c>
      <c r="T45" s="292" t="s">
        <v>643</v>
      </c>
      <c r="U45" s="307"/>
      <c r="V45" s="2357"/>
      <c r="W45" s="2358"/>
      <c r="X45" s="2358"/>
      <c r="Y45" s="2358"/>
      <c r="Z45" s="2358"/>
      <c r="AA45" s="2358"/>
      <c r="AB45" s="2358"/>
      <c r="AC45" s="2358"/>
      <c r="AD45" s="2358"/>
      <c r="AE45" s="2358"/>
      <c r="AF45" s="2359"/>
      <c r="AG45" s="2360"/>
      <c r="AH45" s="2361"/>
      <c r="AI45" s="2361"/>
      <c r="AJ45" s="2361"/>
      <c r="AK45" s="2361"/>
      <c r="AL45" s="2361"/>
      <c r="AM45" s="2361"/>
      <c r="AN45" s="2361"/>
      <c r="AO45" s="2361"/>
      <c r="AP45" s="2361"/>
      <c r="AQ45" s="2361"/>
      <c r="AR45" s="2362"/>
      <c r="AS45" s="1265" t="s">
        <v>644</v>
      </c>
      <c r="AU45" s="507"/>
      <c r="AV45" s="507" t="str">
        <f>IF(T45="","",T45)</f>
        <v>Наименование признака дифференциации</v>
      </c>
      <c r="AW45" s="507"/>
      <c r="AX45" s="507"/>
      <c r="AY45" s="1162">
        <v>23</v>
      </c>
    </row>
    <row customHeight="1" ht="24">
      <c r="A46" s="1370" t="s">
        <v>419</v>
      </c>
      <c r="B46" s="1370" t="s">
        <v>420</v>
      </c>
      <c r="C46" s="1370" t="s">
        <v>421</v>
      </c>
      <c r="D46" s="1370" t="s">
        <v>705</v>
      </c>
      <c r="E46" s="2266"/>
      <c r="F46" s="2266"/>
      <c r="G46" s="2266"/>
      <c r="H46" s="2266"/>
      <c r="I46" s="2293"/>
      <c r="J46" s="2263" t="str">
        <f>I45&amp;".1"</f>
        <v>...1.1</v>
      </c>
      <c r="K46" s="1370"/>
      <c r="L46" s="1371" t="s">
        <v>569</v>
      </c>
      <c r="P46" s="2264"/>
      <c r="Q46" s="2264">
        <v>1</v>
      </c>
      <c r="R46" s="364"/>
      <c r="S46" s="1500" t="str">
        <f>$J46</f>
        <v>...1.1</v>
      </c>
      <c r="T46" s="293" t="s">
        <v>570</v>
      </c>
      <c r="U46" s="307"/>
      <c r="V46" s="2252"/>
      <c r="W46" s="2253"/>
      <c r="X46" s="2253"/>
      <c r="Y46" s="2253"/>
      <c r="Z46" s="2253"/>
      <c r="AA46" s="2253"/>
      <c r="AB46" s="2253"/>
      <c r="AC46" s="2253"/>
      <c r="AD46" s="2253"/>
      <c r="AE46" s="2253"/>
      <c r="AF46" s="2254"/>
      <c r="AG46" s="2252"/>
      <c r="AH46" s="2253"/>
      <c r="AI46" s="2253"/>
      <c r="AJ46" s="2253"/>
      <c r="AK46" s="2253"/>
      <c r="AL46" s="2253"/>
      <c r="AM46" s="2253"/>
      <c r="AN46" s="2253"/>
      <c r="AO46" s="2253"/>
      <c r="AP46" s="2253"/>
      <c r="AQ46" s="2253"/>
      <c r="AR46" s="2254"/>
      <c r="AS46" s="1314" t="s">
        <v>645</v>
      </c>
      <c r="AU46" s="507"/>
      <c r="AV46" s="507" t="str">
        <f>IF(T46="","",T46)</f>
        <v>Группа потребителей</v>
      </c>
      <c r="AW46" s="507"/>
      <c r="AX46" s="507"/>
      <c r="AY46" s="1162">
        <v>23</v>
      </c>
    </row>
    <row customHeight="1" ht="24">
      <c r="A47" s="1370" t="s">
        <v>419</v>
      </c>
      <c r="B47" s="1370" t="s">
        <v>420</v>
      </c>
      <c r="C47" s="1370" t="s">
        <v>421</v>
      </c>
      <c r="D47" s="1370" t="s">
        <v>705</v>
      </c>
      <c r="E47" s="2266"/>
      <c r="F47" s="2266"/>
      <c r="G47" s="2266"/>
      <c r="H47" s="2266"/>
      <c r="I47" s="2293"/>
      <c r="J47" s="2293"/>
      <c r="K47" s="2263" t="str">
        <f>J46&amp;".1"</f>
        <v>...1.1.1</v>
      </c>
      <c r="L47" s="1371"/>
      <c r="P47" s="2264"/>
      <c r="Q47" s="2264"/>
      <c r="R47" s="364">
        <v>1</v>
      </c>
      <c r="S47" s="1500" t="str">
        <f>$K47</f>
        <v>...1.1.1</v>
      </c>
      <c r="T47" s="1444"/>
      <c r="U47" s="307"/>
      <c r="V47" s="1367"/>
      <c r="W47" s="1367"/>
      <c r="X47" s="1367"/>
      <c r="Y47" s="1367"/>
      <c r="Z47" s="1367"/>
      <c r="AA47" s="1367"/>
      <c r="AB47" s="1368"/>
      <c r="AC47" s="2274"/>
      <c r="AD47" s="2275" t="s">
        <v>66</v>
      </c>
      <c r="AE47" s="2274"/>
      <c r="AF47" s="2275" t="s">
        <v>66</v>
      </c>
      <c r="AG47" s="758"/>
      <c r="AH47" s="758"/>
      <c r="AI47" s="758"/>
      <c r="AJ47" s="758"/>
      <c r="AK47" s="758"/>
      <c r="AL47" s="758"/>
      <c r="AM47" s="1264"/>
      <c r="AN47" s="2272"/>
      <c r="AO47" s="2114" t="s">
        <v>66</v>
      </c>
      <c r="AP47" s="2294"/>
      <c r="AQ47" s="2114" t="s">
        <v>19</v>
      </c>
      <c r="AR47" s="1445"/>
      <c r="AS47" s="2356"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8">
        <f>STRCHECKDATE(V48:AR48)</f>
      </c>
      <c r="AU47" s="507"/>
      <c r="AV47" s="507" t="str">
        <f>IF(T47="","",T47)</f>
        <v/>
      </c>
      <c r="AW47" s="507"/>
      <c r="AX47" s="507"/>
      <c r="AY47" s="1162">
        <v>23</v>
      </c>
    </row>
    <row customHeight="1" ht="0">
      <c r="A48" s="1370" t="s">
        <v>419</v>
      </c>
      <c r="B48" s="1370" t="s">
        <v>420</v>
      </c>
      <c r="C48" s="1370" t="s">
        <v>421</v>
      </c>
      <c r="D48" s="1370" t="s">
        <v>705</v>
      </c>
      <c r="E48" s="2266"/>
      <c r="F48" s="2266"/>
      <c r="G48" s="2266"/>
      <c r="H48" s="2266"/>
      <c r="I48" s="2293"/>
      <c r="J48" s="2293"/>
      <c r="K48" s="2263"/>
      <c r="L48" s="1371"/>
      <c r="P48" s="2264"/>
      <c r="Q48" s="2264"/>
      <c r="R48" s="364"/>
      <c r="S48" s="1497"/>
      <c r="T48" s="307"/>
      <c r="U48" s="307"/>
      <c r="V48" s="1367"/>
      <c r="W48" s="1367"/>
      <c r="X48" s="1367"/>
      <c r="Y48" s="1367"/>
      <c r="Z48" s="1367"/>
      <c r="AA48" s="1367"/>
      <c r="AB48" s="335" t="str">
        <f>AC47&amp;"-"&amp;AE47</f>
        <v>-</v>
      </c>
      <c r="AC48" s="2275"/>
      <c r="AD48" s="2275"/>
      <c r="AE48" s="2275"/>
      <c r="AF48" s="2275"/>
      <c r="AG48" s="332"/>
      <c r="AH48" s="332"/>
      <c r="AI48" s="332"/>
      <c r="AJ48" s="332"/>
      <c r="AK48" s="332"/>
      <c r="AL48" s="332"/>
      <c r="AM48" s="335" t="str">
        <f>AN47&amp;"-"&amp;AP47</f>
        <v>-</v>
      </c>
      <c r="AN48" s="2273"/>
      <c r="AO48" s="2114"/>
      <c r="AP48" s="2295"/>
      <c r="AQ48" s="2114"/>
      <c r="AR48" s="1446"/>
      <c r="AS48" s="2356"/>
      <c r="AU48" s="507"/>
      <c r="AV48" s="507" t="str">
        <f>IF(T48="","",T48)</f>
        <v/>
      </c>
      <c r="AW48" s="507"/>
      <c r="AX48" s="507"/>
      <c r="AY48" s="1162">
        <v>0</v>
      </c>
    </row>
    <row customHeight="1" ht="21">
      <c r="A49" s="1370" t="s">
        <v>419</v>
      </c>
      <c r="B49" s="1370" t="s">
        <v>420</v>
      </c>
      <c r="C49" s="1370" t="s">
        <v>421</v>
      </c>
      <c r="D49" s="1370" t="s">
        <v>705</v>
      </c>
      <c r="E49" s="2266"/>
      <c r="F49" s="2266"/>
      <c r="G49" s="2266"/>
      <c r="H49" s="2266"/>
      <c r="I49" s="2293"/>
      <c r="J49" s="2263"/>
      <c r="K49" s="1370"/>
      <c r="L49" s="1371"/>
      <c r="P49" s="2264"/>
      <c r="Q49" s="2264"/>
      <c r="R49" s="363"/>
      <c r="S49" s="1285"/>
      <c r="T49" s="294" t="s">
        <v>646</v>
      </c>
      <c r="U49" s="374"/>
      <c r="V49" s="374"/>
      <c r="W49" s="607"/>
      <c r="X49" s="607"/>
      <c r="Y49" s="607"/>
      <c r="Z49" s="607"/>
      <c r="AA49" s="607"/>
      <c r="AB49" s="374"/>
      <c r="AC49" s="374"/>
      <c r="AD49" s="374"/>
      <c r="AE49" s="374"/>
      <c r="AF49" s="374"/>
      <c r="AG49" s="374"/>
      <c r="AH49" s="607"/>
      <c r="AI49" s="607"/>
      <c r="AJ49" s="607"/>
      <c r="AK49" s="607"/>
      <c r="AL49" s="607"/>
      <c r="AM49" s="374"/>
      <c r="AN49" s="374"/>
      <c r="AO49" s="374"/>
      <c r="AP49" s="374"/>
      <c r="AQ49" s="374"/>
      <c r="AR49" s="374"/>
      <c r="AS49" s="1265" t="s">
        <v>647</v>
      </c>
      <c r="AU49" s="507"/>
      <c r="AV49" s="507" t="str">
        <f>IF(T49="","",T49)</f>
        <v>Добавить значение признака дифференциации</v>
      </c>
      <c r="AW49" s="507"/>
      <c r="AX49" s="507"/>
      <c r="AY49" s="1162">
        <v>20</v>
      </c>
    </row>
    <row customHeight="1" ht="22.049999999999997">
      <c r="A50" s="1370" t="s">
        <v>419</v>
      </c>
      <c r="B50" s="1370" t="s">
        <v>420</v>
      </c>
      <c r="C50" s="1370" t="s">
        <v>421</v>
      </c>
      <c r="D50" s="1370" t="s">
        <v>705</v>
      </c>
      <c r="E50" s="2266"/>
      <c r="F50" s="2266"/>
      <c r="G50" s="2266"/>
      <c r="H50" s="2266"/>
      <c r="I50" s="2263"/>
      <c r="J50" s="1370"/>
      <c r="K50" s="1370"/>
      <c r="L50" s="1371"/>
      <c r="P50" s="2264"/>
      <c r="Q50" s="1488"/>
      <c r="R50" s="363"/>
      <c r="S50" s="1285"/>
      <c r="T50" s="372" t="s">
        <v>575</v>
      </c>
      <c r="U50" s="374"/>
      <c r="V50" s="374"/>
      <c r="W50" s="607"/>
      <c r="X50" s="607"/>
      <c r="Y50" s="607"/>
      <c r="Z50" s="607"/>
      <c r="AA50" s="607"/>
      <c r="AB50" s="374"/>
      <c r="AC50" s="374"/>
      <c r="AD50" s="374"/>
      <c r="AE50" s="374"/>
      <c r="AF50" s="373"/>
      <c r="AG50" s="374"/>
      <c r="AH50" s="607"/>
      <c r="AI50" s="607"/>
      <c r="AJ50" s="607"/>
      <c r="AK50" s="607"/>
      <c r="AL50" s="607"/>
      <c r="AM50" s="374"/>
      <c r="AN50" s="374"/>
      <c r="AO50" s="374"/>
      <c r="AP50" s="374"/>
      <c r="AQ50" s="373"/>
      <c r="AR50" s="374"/>
      <c r="AS50" s="1447"/>
      <c r="AU50" s="507"/>
      <c r="AV50" s="507" t="str">
        <f>IF(T50="","",T50)</f>
        <v>Добавить группу потребителей</v>
      </c>
      <c r="AW50" s="507"/>
      <c r="AX50" s="507"/>
      <c r="AY50" s="1162">
        <v>21</v>
      </c>
    </row>
    <row customHeight="1" ht="22.049999999999997">
      <c r="A51" s="1370" t="s">
        <v>419</v>
      </c>
      <c r="B51" s="1370" t="s">
        <v>420</v>
      </c>
      <c r="C51" s="1370" t="s">
        <v>421</v>
      </c>
      <c r="D51" s="1370" t="s">
        <v>705</v>
      </c>
      <c r="E51" s="2266"/>
      <c r="F51" s="2266"/>
      <c r="G51" s="2266"/>
      <c r="H51" s="2265"/>
      <c r="I51" s="1370"/>
      <c r="J51" s="1370"/>
      <c r="K51" s="1370"/>
      <c r="L51" s="1371"/>
      <c r="M51" s="1372"/>
      <c r="N51" s="1372"/>
      <c r="O51" s="544"/>
      <c r="P51" s="367"/>
      <c r="Q51" s="382"/>
      <c r="R51" s="362"/>
      <c r="S51" s="1285"/>
      <c r="T51" s="379" t="s">
        <v>648</v>
      </c>
      <c r="U51" s="374"/>
      <c r="V51" s="374"/>
      <c r="W51" s="607"/>
      <c r="X51" s="607"/>
      <c r="Y51" s="607"/>
      <c r="Z51" s="607"/>
      <c r="AA51" s="607"/>
      <c r="AB51" s="374"/>
      <c r="AC51" s="374"/>
      <c r="AD51" s="374"/>
      <c r="AE51" s="374"/>
      <c r="AF51" s="373"/>
      <c r="AG51" s="374"/>
      <c r="AH51" s="607"/>
      <c r="AI51" s="607"/>
      <c r="AJ51" s="607"/>
      <c r="AK51" s="607"/>
      <c r="AL51" s="607"/>
      <c r="AM51" s="374"/>
      <c r="AN51" s="374"/>
      <c r="AO51" s="374"/>
      <c r="AP51" s="374"/>
      <c r="AQ51" s="373"/>
      <c r="AR51" s="374"/>
      <c r="AS51" s="310"/>
      <c r="AU51" s="507"/>
      <c r="AV51" s="507" t="str">
        <f>IF(T51="","",T51)</f>
        <v>Добавить наименование признака дифференциации</v>
      </c>
      <c r="AW51" s="507"/>
      <c r="AX51" s="507"/>
      <c r="AY51" s="1162">
        <v>21</v>
      </c>
    </row>
    <row s="1649" customFormat="1" customHeight="1" ht="0">
      <c r="A52" s="1350" t="s">
        <v>419</v>
      </c>
      <c r="B52" s="1350" t="s">
        <v>420</v>
      </c>
      <c r="C52" s="1321"/>
      <c r="D52" s="1321"/>
      <c r="E52" s="2266"/>
      <c r="F52" s="2265"/>
      <c r="G52" s="1321"/>
      <c r="H52" s="1321"/>
      <c r="I52" s="1321"/>
      <c r="J52" s="1321"/>
      <c r="K52" s="1321"/>
      <c r="L52" s="1501"/>
      <c r="M52" s="1328"/>
      <c r="N52" s="1328"/>
      <c r="P52" s="1323"/>
      <c r="Q52" s="1324"/>
      <c r="R52" s="1323"/>
      <c r="S52" s="1329"/>
      <c r="T52" s="1332" t="s">
        <v>316</v>
      </c>
      <c r="U52" s="1331"/>
      <c r="V52" s="1331"/>
      <c r="W52" s="1331"/>
      <c r="X52" s="1331"/>
      <c r="Y52" s="1331"/>
      <c r="Z52" s="1331"/>
      <c r="AA52" s="1331"/>
      <c r="AB52" s="1331"/>
      <c r="AC52" s="1331"/>
      <c r="AD52" s="1331"/>
      <c r="AE52" s="1331"/>
      <c r="AF52" s="1331"/>
      <c r="AG52" s="1331"/>
      <c r="AH52" s="1331"/>
      <c r="AI52" s="1331"/>
      <c r="AJ52" s="1331"/>
      <c r="AK52" s="1331"/>
      <c r="AL52" s="1331"/>
      <c r="AM52" s="1331"/>
      <c r="AN52" s="1331"/>
      <c r="AO52" s="1331"/>
      <c r="AP52" s="1331"/>
      <c r="AQ52" s="1331"/>
      <c r="AR52" s="1331"/>
      <c r="AS52" s="1331"/>
      <c r="AU52" s="796"/>
      <c r="AV52" s="796" t="str">
        <f>IF(T52="","",T52)</f>
        <v>Добавить централизованную систему для дифференциации</v>
      </c>
      <c r="AW52" s="796"/>
      <c r="AX52" s="796"/>
      <c r="AY52" s="525">
        <v>0</v>
      </c>
    </row>
    <row s="1649" customFormat="1" customHeight="1" ht="0">
      <c r="A53" s="1350" t="s">
        <v>419</v>
      </c>
      <c r="B53" s="1350"/>
      <c r="C53" s="1350"/>
      <c r="D53" s="1350"/>
      <c r="E53" s="2265"/>
      <c r="F53" s="1350"/>
      <c r="G53" s="1350"/>
      <c r="H53" s="1350"/>
      <c r="I53" s="1350"/>
      <c r="J53" s="1350"/>
      <c r="K53" s="1350"/>
      <c r="L53" s="1353"/>
      <c r="M53" s="1328"/>
      <c r="N53" s="1328"/>
      <c r="O53" s="525"/>
      <c r="P53" s="387"/>
      <c r="Q53" s="1351"/>
      <c r="R53" s="387"/>
      <c r="S53" s="1329"/>
      <c r="T53" s="1332" t="s">
        <v>390</v>
      </c>
      <c r="U53" s="1331"/>
      <c r="V53" s="1331"/>
      <c r="W53" s="1331"/>
      <c r="X53" s="1331"/>
      <c r="Y53" s="1331"/>
      <c r="Z53" s="1331"/>
      <c r="AA53" s="1331"/>
      <c r="AB53" s="1331"/>
      <c r="AC53" s="1331"/>
      <c r="AD53" s="1331"/>
      <c r="AE53" s="1331"/>
      <c r="AF53" s="1331"/>
      <c r="AG53" s="1331"/>
      <c r="AH53" s="1331"/>
      <c r="AI53" s="1331"/>
      <c r="AJ53" s="1331"/>
      <c r="AK53" s="1331"/>
      <c r="AL53" s="1331"/>
      <c r="AM53" s="1331"/>
      <c r="AN53" s="1331"/>
      <c r="AO53" s="1331"/>
      <c r="AP53" s="1331"/>
      <c r="AQ53" s="1331"/>
      <c r="AR53" s="1331"/>
      <c r="AS53" s="1331"/>
      <c r="AU53" s="507"/>
      <c r="AV53" s="507" t="str">
        <f>IF(T53="","",T53)</f>
        <v>Добавить территорию для дифференциации</v>
      </c>
      <c r="AW53" s="507"/>
      <c r="AX53" s="507"/>
      <c r="AY53" s="518">
        <v>0</v>
      </c>
    </row>
    <row s="1649" customFormat="1" customHeight="1" ht="0">
      <c r="A54" s="1321"/>
      <c r="B54" s="1321"/>
      <c r="C54" s="1321"/>
      <c r="D54" s="1321"/>
      <c r="E54" s="1350"/>
      <c r="F54" s="1321"/>
      <c r="G54" s="1321"/>
      <c r="H54" s="1321"/>
      <c r="I54" s="1321"/>
      <c r="J54" s="1321"/>
      <c r="K54" s="1321"/>
      <c r="L54" s="1501"/>
      <c r="M54" s="1328"/>
      <c r="N54" s="1328"/>
      <c r="P54" s="1323"/>
      <c r="Q54" s="1324"/>
      <c r="R54" s="1323"/>
      <c r="S54" s="1329"/>
      <c r="T54" s="1332" t="s">
        <v>391</v>
      </c>
      <c r="U54" s="1331"/>
      <c r="V54" s="1331"/>
      <c r="W54" s="1331"/>
      <c r="X54" s="1331"/>
      <c r="Y54" s="1331"/>
      <c r="Z54" s="1331"/>
      <c r="AA54" s="1331"/>
      <c r="AB54" s="1331"/>
      <c r="AC54" s="1331"/>
      <c r="AD54" s="1331"/>
      <c r="AE54" s="1331"/>
      <c r="AF54" s="1331"/>
      <c r="AG54" s="1331"/>
      <c r="AH54" s="1331"/>
      <c r="AI54" s="1331"/>
      <c r="AJ54" s="1331"/>
      <c r="AK54" s="1331"/>
      <c r="AL54" s="1331"/>
      <c r="AM54" s="1331"/>
      <c r="AN54" s="1331"/>
      <c r="AO54" s="1331"/>
      <c r="AP54" s="1331"/>
      <c r="AQ54" s="1331"/>
      <c r="AR54" s="1331"/>
      <c r="AS54" s="1331"/>
      <c r="AU54" s="796"/>
      <c r="AV54" s="796" t="str">
        <f>IF(T54="","",T54)</f>
        <v>Добавить наименование тарифа</v>
      </c>
      <c r="AW54" s="796"/>
      <c r="AX54" s="796"/>
      <c r="AY54" s="525">
        <v>0</v>
      </c>
    </row>
    <row customHeight="1" ht="11.549999999999999">
      <c r="M55" s="1167"/>
      <c r="N55" s="1167"/>
      <c r="O55" s="544"/>
      <c r="P55" s="1162"/>
      <c r="Q55" s="1162"/>
      <c r="R55" s="1162"/>
      <c r="S55" s="1162"/>
      <c r="AT55" s="1162"/>
      <c r="AU55" s="1162"/>
      <c r="AV55" s="1162"/>
      <c r="AW55" s="1162"/>
      <c r="AX55" s="1162"/>
      <c r="AY55" s="1162">
        <v>11</v>
      </c>
    </row>
    <row customHeight="1" ht="14.699999999999998">
      <c r="O56" s="544"/>
      <c r="S56" s="1260"/>
      <c r="T56" s="2292"/>
      <c r="U56" s="2292"/>
      <c r="V56" s="2292"/>
      <c r="W56" s="2292"/>
      <c r="X56" s="2292"/>
      <c r="Y56" s="2292"/>
      <c r="Z56" s="2292"/>
      <c r="AA56" s="2292"/>
      <c r="AB56" s="2292"/>
      <c r="AC56" s="2292"/>
      <c r="AD56" s="2292"/>
      <c r="AE56" s="2292"/>
      <c r="AF56" s="2292"/>
      <c r="AG56" s="2292"/>
      <c r="AH56" s="2292"/>
      <c r="AI56" s="2292"/>
      <c r="AJ56" s="2292"/>
      <c r="AK56" s="2292"/>
      <c r="AL56" s="2292"/>
      <c r="AM56" s="2292"/>
      <c r="AN56" s="2292"/>
      <c r="AO56" s="2292"/>
      <c r="AP56" s="2292"/>
      <c r="AQ56" s="2292"/>
      <c r="AR56" s="2292"/>
      <c r="AS56" s="2292"/>
      <c r="AY56" s="1162">
        <v>14</v>
      </c>
    </row>
    <row customHeight="1" ht="14.699999999999998">
      <c r="O57" s="544"/>
      <c r="AY57" s="1162">
        <v>14</v>
      </c>
    </row>
    <row customHeight="1" ht="14.699999999999998">
      <c r="O58" s="544"/>
      <c r="S58" s="1260"/>
      <c r="T58" s="2292"/>
      <c r="U58" s="2292"/>
      <c r="V58" s="2292"/>
      <c r="W58" s="2292"/>
      <c r="X58" s="2292"/>
      <c r="Y58" s="2292"/>
      <c r="Z58" s="2292"/>
      <c r="AA58" s="2292"/>
      <c r="AB58" s="2292"/>
      <c r="AC58" s="2292"/>
      <c r="AD58" s="2292"/>
      <c r="AE58" s="2292"/>
      <c r="AF58" s="2292"/>
      <c r="AG58" s="2292"/>
      <c r="AH58" s="2292"/>
      <c r="AI58" s="2292"/>
      <c r="AJ58" s="2292"/>
      <c r="AK58" s="2292"/>
      <c r="AL58" s="2292"/>
      <c r="AM58" s="2292"/>
      <c r="AN58" s="2292"/>
      <c r="AO58" s="2292"/>
      <c r="AP58" s="2292"/>
      <c r="AQ58" s="2292"/>
      <c r="AR58" s="2292"/>
      <c r="AS58" s="2292"/>
      <c r="AY58" s="1162">
        <v>14</v>
      </c>
    </row>
    <row customHeight="1" ht="22.5" hidden="1">
      <c r="A59" s="1167" t="s">
        <v>82</v>
      </c>
      <c r="B59" s="1167">
        <v>0</v>
      </c>
      <c r="C59" s="1167">
        <v>0</v>
      </c>
      <c r="D59" s="1167">
        <v>0</v>
      </c>
      <c r="E59" s="1167">
        <v>0</v>
      </c>
      <c r="F59" s="1167">
        <v>0</v>
      </c>
      <c r="G59" s="1167">
        <v>0</v>
      </c>
      <c r="H59" s="1167">
        <v>0</v>
      </c>
      <c r="I59" s="1167">
        <v>0</v>
      </c>
      <c r="J59" s="1167">
        <v>0</v>
      </c>
      <c r="K59" s="1167">
        <v>0</v>
      </c>
      <c r="L59" s="1485">
        <v>0</v>
      </c>
      <c r="M59" s="1369">
        <v>0</v>
      </c>
      <c r="N59" s="1369">
        <v>0</v>
      </c>
      <c r="O59" s="1369">
        <v>0</v>
      </c>
      <c r="P59" s="1480">
        <v>3</v>
      </c>
      <c r="Q59" s="351">
        <v>3</v>
      </c>
      <c r="R59" s="351">
        <v>3</v>
      </c>
      <c r="S59" s="588">
        <v>12</v>
      </c>
      <c r="T59" s="1162">
        <v>35</v>
      </c>
      <c r="U59" s="1162">
        <v>0</v>
      </c>
      <c r="V59" s="1162">
        <v>0</v>
      </c>
      <c r="W59" s="1638">
        <v>0</v>
      </c>
      <c r="X59" s="1638">
        <v>0</v>
      </c>
      <c r="Y59" s="1638">
        <v>0</v>
      </c>
      <c r="Z59" s="1638">
        <v>0</v>
      </c>
      <c r="AA59" s="1638">
        <v>0</v>
      </c>
      <c r="AB59" s="1162">
        <v>0</v>
      </c>
      <c r="AC59" s="1162">
        <v>0</v>
      </c>
      <c r="AD59" s="1162">
        <v>0</v>
      </c>
      <c r="AE59" s="1162">
        <v>0</v>
      </c>
      <c r="AF59" s="1162">
        <v>0</v>
      </c>
      <c r="AG59" s="1162">
        <v>19</v>
      </c>
      <c r="AH59" s="1638">
        <v>19</v>
      </c>
      <c r="AI59" s="1638">
        <v>19</v>
      </c>
      <c r="AJ59" s="1638">
        <v>19</v>
      </c>
      <c r="AK59" s="1638">
        <v>19</v>
      </c>
      <c r="AL59" s="1638">
        <v>19</v>
      </c>
      <c r="AM59" s="1162">
        <v>19</v>
      </c>
      <c r="AN59" s="1162">
        <v>11</v>
      </c>
      <c r="AO59" s="1162">
        <v>3</v>
      </c>
      <c r="AP59" s="1162">
        <v>11</v>
      </c>
      <c r="AQ59" s="1162">
        <v>0</v>
      </c>
      <c r="AR59" s="1162">
        <v>4</v>
      </c>
      <c r="AS59" s="1162">
        <v>115</v>
      </c>
      <c r="AT59" s="518">
        <v>10</v>
      </c>
      <c r="AU59" s="518">
        <v>10</v>
      </c>
      <c r="AV59" s="518">
        <v>10</v>
      </c>
      <c r="AW59" s="518">
        <v>10</v>
      </c>
      <c r="AX59" s="518">
        <v>10</v>
      </c>
      <c r="AY59" s="1162">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7584BE-D6D9-0F8C-8C2D-40E7E5BC9D62}"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73" width="11.57421875" hidden="1" customWidth="1"/>
    <col min="2" max="2" style="1373" width="11.00390625" hidden="1" customWidth="1"/>
    <col min="3" max="3" style="1373" width="10.57421875" hidden="1"/>
    <col min="4" max="4" style="1373" width="12.8515625" hidden="1" customWidth="1"/>
    <col min="5" max="5" style="1373" width="10.00390625" hidden="1" customWidth="1"/>
    <col min="6" max="6" style="1373" width="8.7109375" hidden="1" customWidth="1"/>
    <col min="7" max="7" style="1373" width="7.57421875" hidden="1" customWidth="1"/>
    <col min="8" max="8" style="1373" width="11.421875" hidden="1" customWidth="1"/>
    <col min="9" max="9" style="1373" width="12.00390625" hidden="1" customWidth="1"/>
    <col min="10" max="10" style="1373" width="9.8515625" hidden="1" customWidth="1"/>
    <col min="11" max="11" style="1373" width="11.421875" hidden="1" customWidth="1"/>
    <col min="12" max="12" style="2614" width="19.140625" hidden="1" customWidth="1"/>
    <col min="13" max="14" style="1783" width="12.28125" hidden="1" customWidth="1"/>
    <col min="15" max="15" style="1783" width="23.421875" hidden="1" customWidth="1"/>
    <col min="16" max="16" style="1783" width="3.7109375" hidden="1" customWidth="1"/>
    <col min="17" max="17" style="1378" width="3.7109375" hidden="1" customWidth="1"/>
    <col min="18" max="18" style="351" width="3.00390625" customWidth="1"/>
    <col min="19" max="19" style="2414" width="12.00390625" customWidth="1"/>
    <col min="20" max="20" style="1642" width="31.00390625" customWidth="1"/>
    <col min="21" max="21" style="1642" width="0.140625" customWidth="1"/>
    <col min="22" max="25" style="1642" width="21.7109375" hidden="1" customWidth="1"/>
    <col min="26" max="26" style="1642" width="11.7109375" hidden="1" customWidth="1"/>
    <col min="27" max="27" style="1642" width="3.7109375" hidden="1" customWidth="1"/>
    <col min="28" max="28" style="1642" width="11.7109375" hidden="1" customWidth="1"/>
    <col min="29" max="29" style="1642" width="8.57421875" hidden="1" customWidth="1"/>
    <col min="30" max="30" style="1642" width="3.7109375" customWidth="1"/>
    <col min="31" max="32" style="1642" width="3.00390625" customWidth="1"/>
    <col min="33" max="33" style="1642" width="24.00390625" customWidth="1"/>
    <col min="34" max="34" style="1642" width="3.7109375" customWidth="1"/>
    <col min="35" max="36" style="1642" width="3.00390625" customWidth="1"/>
    <col min="37" max="37" style="1642" width="24.00390625" customWidth="1"/>
    <col min="38" max="38" style="1642" width="3.7109375" customWidth="1"/>
    <col min="39" max="40" style="1642" width="3.00390625" customWidth="1"/>
    <col min="41" max="41" style="1642" width="18.00390625" customWidth="1"/>
    <col min="42" max="42" style="1642" width="3.7109375" customWidth="1"/>
    <col min="43" max="44" style="1642" width="3.00390625" customWidth="1"/>
    <col min="45" max="45" style="1642" width="18.00390625" customWidth="1"/>
    <col min="46" max="49" style="1642" width="21.00390625" customWidth="1"/>
    <col min="50" max="50" style="1642" width="11.00390625" customWidth="1"/>
    <col min="51" max="51" style="1642" width="3.7109375" customWidth="1"/>
    <col min="52" max="52" style="1642" width="11.00390625" customWidth="1"/>
    <col min="53" max="53" style="1642" width="8.57421875" hidden="1" customWidth="1"/>
    <col min="54" max="54" style="1642" width="4.00390625" customWidth="1"/>
    <col min="55" max="55" style="1642" width="115.00390625" customWidth="1"/>
    <col min="56" max="60" style="1649" width="10.00390625" customWidth="1"/>
    <col min="61" max="61" style="1642" width="10.57421875" hidden="1"/>
  </cols>
  <sheetData>
    <row customHeight="1" ht="22.5" hidden="1">
      <c r="W1" s="334"/>
      <c r="Y1" s="334"/>
      <c r="Z1" s="334"/>
      <c r="AW1" s="334"/>
      <c r="AX1" s="334"/>
      <c r="BI1" s="1162" t="s">
        <v>14</v>
      </c>
    </row>
    <row customHeight="1" ht="21" hidden="1">
      <c r="A2" s="1370"/>
      <c r="B2" s="1370"/>
      <c r="C2" s="1370"/>
      <c r="D2" s="1370"/>
      <c r="E2" s="2265">
        <v>1</v>
      </c>
      <c r="F2" s="1370"/>
      <c r="G2" s="1370"/>
      <c r="H2" s="1370"/>
      <c r="I2" s="1370"/>
      <c r="J2" s="1370"/>
      <c r="K2" s="1370"/>
      <c r="L2" s="1371"/>
      <c r="M2" s="1372"/>
      <c r="N2" s="1372"/>
      <c r="O2" s="1372"/>
      <c r="P2" s="1416"/>
      <c r="Q2" s="880"/>
      <c r="R2" s="362"/>
      <c r="S2" s="1500">
        <f>INDEX(PT_DIFFERENTIATION_NUM_NTAR,MATCH(A2,PT_DIFFERENTIATION_NTAR_ID,0))</f>
      </c>
      <c r="T2" s="305" t="s">
        <v>215</v>
      </c>
      <c r="U2" s="307"/>
      <c r="V2" s="2250"/>
      <c r="W2" s="2250"/>
      <c r="X2" s="2250"/>
      <c r="Y2" s="2250"/>
      <c r="Z2" s="2250"/>
      <c r="AA2" s="2250"/>
      <c r="AB2" s="2250"/>
      <c r="AC2" s="2251"/>
      <c r="AD2" s="2249">
        <f>INDEX(PT_DIFFERENTIATION_NTAR,MATCH(A2,PT_DIFFERENTIATION_NTAR_ID,0))</f>
      </c>
      <c r="AE2" s="2250"/>
      <c r="AF2" s="2250"/>
      <c r="AG2" s="2250"/>
      <c r="AH2" s="2250"/>
      <c r="AI2" s="2250"/>
      <c r="AJ2" s="2250"/>
      <c r="AK2" s="2250"/>
      <c r="AL2" s="2250"/>
      <c r="AM2" s="2250"/>
      <c r="AN2" s="2250"/>
      <c r="AO2" s="2250"/>
      <c r="AP2" s="2250"/>
      <c r="AQ2" s="2250"/>
      <c r="AR2" s="2250"/>
      <c r="AS2" s="2250"/>
      <c r="AT2" s="2250"/>
      <c r="AU2" s="2250"/>
      <c r="AV2" s="2250"/>
      <c r="AW2" s="2250"/>
      <c r="AX2" s="2250"/>
      <c r="AY2" s="2250"/>
      <c r="AZ2" s="2250"/>
      <c r="BA2" s="2250"/>
      <c r="BB2" s="2251"/>
      <c r="BC2"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7"/>
      <c r="BF2" s="507" t="str">
        <f>IF(T2="","",T2)</f>
        <v>Наименование тарифа</v>
      </c>
      <c r="BG2" s="507"/>
      <c r="BH2" s="507"/>
      <c r="BI2" s="1162">
        <v>0</v>
      </c>
    </row>
    <row customHeight="1" ht="21" hidden="1">
      <c r="A3" s="1370"/>
      <c r="B3" s="1370"/>
      <c r="C3" s="1370"/>
      <c r="D3" s="1370"/>
      <c r="E3" s="2266"/>
      <c r="F3" s="2265">
        <v>1</v>
      </c>
      <c r="G3" s="1370"/>
      <c r="H3" s="1370"/>
      <c r="I3" s="1370"/>
      <c r="J3" s="1370"/>
      <c r="K3" s="1370"/>
      <c r="L3" s="1371"/>
      <c r="M3" s="1372"/>
      <c r="N3" s="1372"/>
      <c r="O3" s="1372"/>
      <c r="P3" s="1417"/>
      <c r="Q3" s="1418"/>
      <c r="R3" s="360"/>
      <c r="S3" s="1500">
        <f>INDEX(PT_DIFFERENTIATION_NUM_TER,MATCH(B3,PT_DIFFERENTIATION_TER_ID,0))</f>
      </c>
      <c r="T3" s="315" t="s">
        <v>560</v>
      </c>
      <c r="U3" s="307"/>
      <c r="V3" s="2250"/>
      <c r="W3" s="2250"/>
      <c r="X3" s="2250"/>
      <c r="Y3" s="2250"/>
      <c r="Z3" s="2250"/>
      <c r="AA3" s="2250"/>
      <c r="AB3" s="2250"/>
      <c r="AC3" s="2251"/>
      <c r="AD3" s="2249">
        <f>INDEX(PT_DIFFERENTIATION_TER,MATCH(B3,PT_DIFFERENTIATION_TER_ID,0))</f>
      </c>
      <c r="AE3" s="2250"/>
      <c r="AF3" s="2250"/>
      <c r="AG3" s="2250"/>
      <c r="AH3" s="2250"/>
      <c r="AI3" s="2250"/>
      <c r="AJ3" s="2250"/>
      <c r="AK3" s="2250"/>
      <c r="AL3" s="2250"/>
      <c r="AM3" s="2250"/>
      <c r="AN3" s="2250"/>
      <c r="AO3" s="2250"/>
      <c r="AP3" s="2250"/>
      <c r="AQ3" s="2250"/>
      <c r="AR3" s="2250"/>
      <c r="AS3" s="2250"/>
      <c r="AT3" s="2250"/>
      <c r="AU3" s="2250"/>
      <c r="AV3" s="2250"/>
      <c r="AW3" s="2250"/>
      <c r="AX3" s="2250"/>
      <c r="AY3" s="2250"/>
      <c r="AZ3" s="2250"/>
      <c r="BA3" s="2250"/>
      <c r="BB3" s="2251"/>
      <c r="BC3" s="1265" t="s">
        <v>561</v>
      </c>
      <c r="BE3" s="507"/>
      <c r="BF3" s="507" t="str">
        <f>IF(T3="","",T3)</f>
        <v>Территория действия тарифа</v>
      </c>
      <c r="BG3" s="507"/>
      <c r="BH3" s="507"/>
      <c r="BI3" s="1162">
        <v>0</v>
      </c>
    </row>
    <row customHeight="1" ht="33.75" hidden="1">
      <c r="A4" s="1370"/>
      <c r="B4" s="1370"/>
      <c r="C4" s="1370"/>
      <c r="D4" s="1370"/>
      <c r="E4" s="2266"/>
      <c r="F4" s="2266"/>
      <c r="G4" s="2265">
        <v>1</v>
      </c>
      <c r="H4" s="1370"/>
      <c r="I4" s="1370"/>
      <c r="J4" s="1370"/>
      <c r="K4" s="1370"/>
      <c r="L4" s="1371"/>
      <c r="M4" s="1372"/>
      <c r="N4" s="1372"/>
      <c r="O4" s="1372"/>
      <c r="P4" s="1419"/>
      <c r="Q4" s="1418"/>
      <c r="R4" s="360"/>
      <c r="S4" s="1500">
        <f>INDEX(PT_DIFFERENTIATION_NUM_CS,MATCH(C4,PT_DIFFERENTIATION_CS_ID,0))</f>
      </c>
      <c r="T4" s="316" t="s">
        <v>692</v>
      </c>
      <c r="U4" s="307"/>
      <c r="V4" s="2250"/>
      <c r="W4" s="2250"/>
      <c r="X4" s="2250"/>
      <c r="Y4" s="2250"/>
      <c r="Z4" s="2250"/>
      <c r="AA4" s="2250"/>
      <c r="AB4" s="2250"/>
      <c r="AC4" s="2251"/>
      <c r="AD4" s="2249">
        <f>INDEX(PT_DIFFERENTIATION_CS,MATCH(C4,PT_DIFFERENTIATION_CS_ID,0))</f>
      </c>
      <c r="AE4" s="2250"/>
      <c r="AF4" s="2250"/>
      <c r="AG4" s="2250"/>
      <c r="AH4" s="2250"/>
      <c r="AI4" s="2250"/>
      <c r="AJ4" s="2250"/>
      <c r="AK4" s="2250"/>
      <c r="AL4" s="2250"/>
      <c r="AM4" s="2250"/>
      <c r="AN4" s="2250"/>
      <c r="AO4" s="2250"/>
      <c r="AP4" s="2250"/>
      <c r="AQ4" s="2250"/>
      <c r="AR4" s="2250"/>
      <c r="AS4" s="2250"/>
      <c r="AT4" s="2250"/>
      <c r="AU4" s="2250"/>
      <c r="AV4" s="2250"/>
      <c r="AW4" s="2250"/>
      <c r="AX4" s="2250"/>
      <c r="AY4" s="2250"/>
      <c r="AZ4" s="2250"/>
      <c r="BA4" s="2250"/>
      <c r="BB4" s="2251"/>
      <c r="BC4" s="1265" t="s">
        <v>693</v>
      </c>
      <c r="BE4" s="507"/>
      <c r="BF4" s="507" t="str">
        <f>IF(T4="","",T4)</f>
        <v>Наименование централизованной системы горячего водоснабжения</v>
      </c>
      <c r="BG4" s="507"/>
      <c r="BH4" s="507"/>
      <c r="BI4" s="1162">
        <v>0</v>
      </c>
    </row>
    <row s="1649" customFormat="1" customHeight="1" ht="14.25" hidden="1">
      <c r="A5" s="1350"/>
      <c r="B5" s="1350"/>
      <c r="C5" s="1350"/>
      <c r="D5" s="1350"/>
      <c r="E5" s="2266"/>
      <c r="F5" s="2266"/>
      <c r="G5" s="2266"/>
      <c r="H5" s="2265">
        <v>1</v>
      </c>
      <c r="I5" s="1350"/>
      <c r="J5" s="1350"/>
      <c r="K5" s="1350"/>
      <c r="L5" s="1353"/>
      <c r="M5" s="1322"/>
      <c r="N5" s="1322"/>
      <c r="O5" s="1322"/>
      <c r="P5" s="1504"/>
      <c r="Q5" s="1505"/>
      <c r="R5" s="364"/>
      <c r="S5" s="1049"/>
      <c r="T5" s="1506"/>
      <c r="U5" s="1391"/>
      <c r="V5" s="2304"/>
      <c r="W5" s="2304"/>
      <c r="X5" s="2304"/>
      <c r="Y5" s="2304"/>
      <c r="Z5" s="2304"/>
      <c r="AA5" s="2304"/>
      <c r="AB5" s="2304"/>
      <c r="AC5" s="2305"/>
      <c r="AD5" s="2303"/>
      <c r="AE5" s="2304"/>
      <c r="AF5" s="2304"/>
      <c r="AG5" s="2304"/>
      <c r="AH5" s="2304"/>
      <c r="AI5" s="2304"/>
      <c r="AJ5" s="2304"/>
      <c r="AK5" s="2304"/>
      <c r="AL5" s="2304"/>
      <c r="AM5" s="2304"/>
      <c r="AN5" s="2304"/>
      <c r="AO5" s="2304"/>
      <c r="AP5" s="2304"/>
      <c r="AQ5" s="2304"/>
      <c r="AR5" s="2304"/>
      <c r="AS5" s="2304"/>
      <c r="AT5" s="2304"/>
      <c r="AU5" s="2304"/>
      <c r="AV5" s="2304"/>
      <c r="AW5" s="2304"/>
      <c r="AX5" s="2304"/>
      <c r="AY5" s="2304"/>
      <c r="AZ5" s="2304"/>
      <c r="BA5" s="2304"/>
      <c r="BB5" s="2305"/>
      <c r="BC5" s="1392" t="s">
        <v>565</v>
      </c>
      <c r="BE5" s="507"/>
      <c r="BF5" s="507" t="str">
        <f>IF(T5="","",T5)</f>
        <v/>
      </c>
      <c r="BG5" s="507"/>
      <c r="BH5" s="507"/>
      <c r="BI5" s="518">
        <v>0</v>
      </c>
    </row>
    <row s="1649" customFormat="1" customHeight="1" ht="14.25" hidden="1">
      <c r="A6" s="1350"/>
      <c r="B6" s="1350"/>
      <c r="C6" s="1350"/>
      <c r="D6" s="1350"/>
      <c r="E6" s="2266"/>
      <c r="F6" s="2266"/>
      <c r="G6" s="2266"/>
      <c r="H6" s="2266"/>
      <c r="I6" s="2263" t="str">
        <f>S5&amp;".1"</f>
        <v>.1</v>
      </c>
      <c r="J6" s="1350"/>
      <c r="K6" s="1350"/>
      <c r="L6" s="1353" t="s">
        <v>566</v>
      </c>
      <c r="M6" s="517"/>
      <c r="N6" s="517"/>
      <c r="O6" s="517"/>
      <c r="P6" s="2264">
        <v>1</v>
      </c>
      <c r="Q6" s="1488"/>
      <c r="R6" s="363"/>
      <c r="S6" s="1049"/>
      <c r="T6" s="1390"/>
      <c r="U6" s="1391"/>
      <c r="V6" s="2304"/>
      <c r="W6" s="2304"/>
      <c r="X6" s="2304"/>
      <c r="Y6" s="2304"/>
      <c r="Z6" s="2304"/>
      <c r="AA6" s="2304"/>
      <c r="AB6" s="2304"/>
      <c r="AC6" s="2305"/>
      <c r="AD6" s="2303"/>
      <c r="AE6" s="2304"/>
      <c r="AF6" s="2304"/>
      <c r="AG6" s="2304"/>
      <c r="AH6" s="2304"/>
      <c r="AI6" s="2304"/>
      <c r="AJ6" s="2304"/>
      <c r="AK6" s="2304"/>
      <c r="AL6" s="2304"/>
      <c r="AM6" s="2304"/>
      <c r="AN6" s="2304"/>
      <c r="AO6" s="2304"/>
      <c r="AP6" s="2304"/>
      <c r="AQ6" s="2304"/>
      <c r="AR6" s="2304"/>
      <c r="AS6" s="2304"/>
      <c r="AT6" s="2304"/>
      <c r="AU6" s="2304"/>
      <c r="AV6" s="2304"/>
      <c r="AW6" s="2304"/>
      <c r="AX6" s="2304"/>
      <c r="AY6" s="2304"/>
      <c r="AZ6" s="2304"/>
      <c r="BA6" s="2304"/>
      <c r="BB6" s="2305"/>
      <c r="BC6" s="1392"/>
      <c r="BE6" s="507"/>
      <c r="BF6" s="507" t="str">
        <f>IF(T6="","",T6)</f>
        <v/>
      </c>
      <c r="BG6" s="507"/>
      <c r="BH6" s="507"/>
      <c r="BI6" s="518">
        <v>0</v>
      </c>
    </row>
    <row s="1649" customFormat="1" customHeight="1" ht="14.25" hidden="1">
      <c r="A7" s="1350"/>
      <c r="B7" s="1350"/>
      <c r="C7" s="1350"/>
      <c r="D7" s="1350"/>
      <c r="E7" s="2266"/>
      <c r="F7" s="2266"/>
      <c r="G7" s="2266"/>
      <c r="H7" s="2266"/>
      <c r="I7" s="2293"/>
      <c r="J7" s="2263" t="str">
        <f>S5&amp;".1"</f>
        <v>.1</v>
      </c>
      <c r="K7" s="1350"/>
      <c r="L7" s="1353"/>
      <c r="M7" s="517"/>
      <c r="N7" s="517"/>
      <c r="O7" s="517"/>
      <c r="P7" s="2264"/>
      <c r="Q7" s="2264">
        <v>1</v>
      </c>
      <c r="R7" s="364"/>
      <c r="S7" s="1049"/>
      <c r="T7" s="1406"/>
      <c r="U7" s="1391"/>
      <c r="V7" s="2304"/>
      <c r="W7" s="2304"/>
      <c r="X7" s="2304"/>
      <c r="Y7" s="2304"/>
      <c r="Z7" s="2304"/>
      <c r="AA7" s="2304"/>
      <c r="AB7" s="2304"/>
      <c r="AC7" s="2305"/>
      <c r="AD7" s="2303"/>
      <c r="AE7" s="2304"/>
      <c r="AF7" s="2304"/>
      <c r="AG7" s="2304"/>
      <c r="AH7" s="2304"/>
      <c r="AI7" s="2304"/>
      <c r="AJ7" s="2304"/>
      <c r="AK7" s="2304"/>
      <c r="AL7" s="2304"/>
      <c r="AM7" s="2304"/>
      <c r="AN7" s="2304"/>
      <c r="AO7" s="2304"/>
      <c r="AP7" s="2304"/>
      <c r="AQ7" s="2304"/>
      <c r="AR7" s="2304"/>
      <c r="AS7" s="2304"/>
      <c r="AT7" s="2304"/>
      <c r="AU7" s="2304"/>
      <c r="AV7" s="2304"/>
      <c r="AW7" s="2304"/>
      <c r="AX7" s="2304"/>
      <c r="AY7" s="2304"/>
      <c r="AZ7" s="2304"/>
      <c r="BA7" s="2304"/>
      <c r="BB7" s="2305"/>
      <c r="BC7" s="1392"/>
      <c r="BE7" s="507"/>
      <c r="BF7" s="507" t="str">
        <f>IF(T7="","",T7)</f>
        <v/>
      </c>
      <c r="BG7" s="507"/>
      <c r="BH7" s="507"/>
      <c r="BI7" s="518">
        <v>0</v>
      </c>
    </row>
    <row customHeight="1" ht="11.25" hidden="1">
      <c r="A8" s="1370"/>
      <c r="B8" s="1370"/>
      <c r="C8" s="1370"/>
      <c r="D8" s="1370"/>
      <c r="E8" s="2266"/>
      <c r="F8" s="2266"/>
      <c r="G8" s="2266"/>
      <c r="H8" s="2266"/>
      <c r="I8" s="2293"/>
      <c r="J8" s="2293"/>
      <c r="K8" s="2263">
        <f>S4&amp;".1"</f>
      </c>
      <c r="L8" s="1371"/>
      <c r="P8" s="2264"/>
      <c r="Q8" s="2264"/>
      <c r="R8" s="2354">
        <v>1</v>
      </c>
      <c r="S8" s="2348">
        <f>$K8</f>
      </c>
      <c r="T8" s="2367"/>
      <c r="U8" s="307"/>
      <c r="V8" s="758"/>
      <c r="W8" s="1264"/>
      <c r="X8" s="758"/>
      <c r="Y8" s="1264"/>
      <c r="Z8" s="1741"/>
      <c r="AA8" s="1476" t="s">
        <v>66</v>
      </c>
      <c r="AB8" s="1741"/>
      <c r="AC8" s="1476" t="s">
        <v>66</v>
      </c>
      <c r="AD8" s="2192" t="s">
        <v>66</v>
      </c>
      <c r="AE8" s="2333"/>
      <c r="AF8" s="2212">
        <v>1</v>
      </c>
      <c r="AG8" s="2370"/>
      <c r="AH8" s="2114" t="s">
        <v>66</v>
      </c>
      <c r="AI8" s="2333"/>
      <c r="AJ8" s="2212">
        <v>1</v>
      </c>
      <c r="AK8" s="2334" t="s">
        <v>28</v>
      </c>
      <c r="AL8" s="2114" t="s">
        <v>66</v>
      </c>
      <c r="AM8" s="2199"/>
      <c r="AN8" s="2212">
        <v>1</v>
      </c>
      <c r="AO8" s="2364"/>
      <c r="AP8" s="2365" t="s">
        <v>66</v>
      </c>
      <c r="AQ8" s="318"/>
      <c r="AR8" s="1493">
        <v>1</v>
      </c>
      <c r="AS8" s="1499" t="s">
        <v>28</v>
      </c>
      <c r="AT8" s="758"/>
      <c r="AU8" s="1264"/>
      <c r="AV8" s="758"/>
      <c r="AW8" s="1264"/>
      <c r="AX8" s="1741"/>
      <c r="AY8" s="1476" t="s">
        <v>66</v>
      </c>
      <c r="AZ8" s="1741"/>
      <c r="BA8" s="1476" t="s">
        <v>66</v>
      </c>
      <c r="BB8" s="1355"/>
      <c r="BC8" s="2260" t="s">
        <v>663</v>
      </c>
      <c r="BE8" s="507"/>
      <c r="BF8" s="507" t="str">
        <f>IF(T8="","",T8)</f>
        <v/>
      </c>
      <c r="BG8" s="507"/>
      <c r="BH8" s="507"/>
      <c r="BI8" s="1162">
        <v>0</v>
      </c>
    </row>
    <row customHeight="1" ht="11.25" hidden="1">
      <c r="A9" s="1370"/>
      <c r="B9" s="1370"/>
      <c r="C9" s="1370"/>
      <c r="D9" s="1370"/>
      <c r="E9" s="2266"/>
      <c r="F9" s="2266"/>
      <c r="G9" s="2266"/>
      <c r="H9" s="2266"/>
      <c r="I9" s="2293"/>
      <c r="J9" s="2293"/>
      <c r="K9" s="2263"/>
      <c r="L9" s="1371"/>
      <c r="P9" s="2264"/>
      <c r="Q9" s="2264"/>
      <c r="R9" s="2354"/>
      <c r="S9" s="2349"/>
      <c r="T9" s="2368"/>
      <c r="U9" s="307"/>
      <c r="V9" s="1400"/>
      <c r="W9" s="1503"/>
      <c r="X9" s="1400"/>
      <c r="Y9" s="1503"/>
      <c r="Z9" s="1400"/>
      <c r="AA9" s="1400"/>
      <c r="AB9" s="1400"/>
      <c r="AC9" s="1400"/>
      <c r="AD9" s="2193"/>
      <c r="AE9" s="2333"/>
      <c r="AF9" s="2212"/>
      <c r="AG9" s="2370"/>
      <c r="AH9" s="2114"/>
      <c r="AI9" s="2333"/>
      <c r="AJ9" s="2212"/>
      <c r="AK9" s="2334"/>
      <c r="AL9" s="2114"/>
      <c r="AM9" s="2207"/>
      <c r="AN9" s="2212"/>
      <c r="AO9" s="2364"/>
      <c r="AP9" s="2366"/>
      <c r="AQ9" s="323"/>
      <c r="AR9" s="423"/>
      <c r="AS9" s="423" t="s">
        <v>664</v>
      </c>
      <c r="AT9" s="1400"/>
      <c r="AU9" s="1503"/>
      <c r="AV9" s="1400"/>
      <c r="AW9" s="1503"/>
      <c r="AX9" s="1400"/>
      <c r="AY9" s="1400"/>
      <c r="AZ9" s="1400"/>
      <c r="BA9" s="1400"/>
      <c r="BB9" s="1404"/>
      <c r="BC9" s="2261"/>
      <c r="BE9" s="507"/>
      <c r="BF9" s="507"/>
      <c r="BG9" s="507"/>
      <c r="BH9" s="507"/>
      <c r="BI9" s="1162">
        <v>0</v>
      </c>
    </row>
    <row customHeight="1" ht="11.25" hidden="1">
      <c r="A10" s="1370"/>
      <c r="B10" s="1370"/>
      <c r="C10" s="1370"/>
      <c r="D10" s="1370"/>
      <c r="E10" s="2266"/>
      <c r="F10" s="2266"/>
      <c r="G10" s="2266"/>
      <c r="H10" s="2266"/>
      <c r="I10" s="2293"/>
      <c r="J10" s="2293"/>
      <c r="K10" s="2263"/>
      <c r="L10" s="1371"/>
      <c r="P10" s="2264"/>
      <c r="Q10" s="2264"/>
      <c r="R10" s="2354"/>
      <c r="S10" s="2349"/>
      <c r="T10" s="2368"/>
      <c r="U10" s="307"/>
      <c r="V10" s="1400"/>
      <c r="W10" s="1503"/>
      <c r="X10" s="1400"/>
      <c r="Y10" s="1503"/>
      <c r="Z10" s="1400"/>
      <c r="AA10" s="1400"/>
      <c r="AB10" s="1400"/>
      <c r="AC10" s="1400"/>
      <c r="AD10" s="2193"/>
      <c r="AE10" s="2333"/>
      <c r="AF10" s="2212"/>
      <c r="AG10" s="2370"/>
      <c r="AH10" s="2114"/>
      <c r="AI10" s="2333"/>
      <c r="AJ10" s="2212"/>
      <c r="AK10" s="2334"/>
      <c r="AL10" s="2114"/>
      <c r="AM10" s="323"/>
      <c r="AN10" s="1507"/>
      <c r="AO10" s="1507" t="s">
        <v>665</v>
      </c>
      <c r="AP10" s="423"/>
      <c r="AQ10" s="423"/>
      <c r="AR10" s="423"/>
      <c r="AS10" s="1400"/>
      <c r="AT10" s="1400"/>
      <c r="AU10" s="1503"/>
      <c r="AV10" s="1400"/>
      <c r="AW10" s="1503"/>
      <c r="AX10" s="1400"/>
      <c r="AY10" s="1400"/>
      <c r="AZ10" s="1400"/>
      <c r="BA10" s="1400"/>
      <c r="BB10" s="1404"/>
      <c r="BC10" s="2261"/>
      <c r="BE10" s="507"/>
      <c r="BF10" s="507"/>
      <c r="BG10" s="507"/>
      <c r="BH10" s="507"/>
      <c r="BI10" s="1162">
        <v>0</v>
      </c>
    </row>
    <row customHeight="1" ht="11.25" hidden="1">
      <c r="A11" s="1370"/>
      <c r="B11" s="1370"/>
      <c r="C11" s="1370"/>
      <c r="D11" s="1370"/>
      <c r="E11" s="2266"/>
      <c r="F11" s="2266"/>
      <c r="G11" s="2266"/>
      <c r="H11" s="2266"/>
      <c r="I11" s="2293"/>
      <c r="J11" s="2293"/>
      <c r="K11" s="2263"/>
      <c r="L11" s="1371"/>
      <c r="P11" s="2264"/>
      <c r="Q11" s="2264"/>
      <c r="R11" s="2354"/>
      <c r="S11" s="2349"/>
      <c r="T11" s="2368"/>
      <c r="U11" s="307"/>
      <c r="V11" s="1400"/>
      <c r="W11" s="1503"/>
      <c r="X11" s="1400"/>
      <c r="Y11" s="1503"/>
      <c r="Z11" s="1400"/>
      <c r="AA11" s="1400"/>
      <c r="AB11" s="1400"/>
      <c r="AC11" s="1400"/>
      <c r="AD11" s="2193"/>
      <c r="AE11" s="2333"/>
      <c r="AF11" s="2212"/>
      <c r="AG11" s="2370"/>
      <c r="AH11" s="2114"/>
      <c r="AI11" s="301"/>
      <c r="AJ11" s="422"/>
      <c r="AK11" s="320" t="s">
        <v>666</v>
      </c>
      <c r="AL11" s="1400"/>
      <c r="AM11" s="1400"/>
      <c r="AN11" s="1400"/>
      <c r="AO11" s="1400"/>
      <c r="AP11" s="1400"/>
      <c r="AQ11" s="1400"/>
      <c r="AR11" s="1400"/>
      <c r="AS11" s="1400"/>
      <c r="AT11" s="1400"/>
      <c r="AU11" s="1503"/>
      <c r="AV11" s="1400"/>
      <c r="AW11" s="1503"/>
      <c r="AX11" s="1400"/>
      <c r="AY11" s="1400"/>
      <c r="AZ11" s="1400"/>
      <c r="BA11" s="1400"/>
      <c r="BB11" s="1404"/>
      <c r="BC11" s="2261"/>
      <c r="BE11" s="507"/>
      <c r="BF11" s="507"/>
      <c r="BG11" s="507"/>
      <c r="BH11" s="507"/>
      <c r="BI11" s="1162">
        <v>0</v>
      </c>
    </row>
    <row customHeight="1" ht="11.25" hidden="1">
      <c r="A12" s="1370"/>
      <c r="B12" s="1370"/>
      <c r="C12" s="1370"/>
      <c r="D12" s="1370"/>
      <c r="E12" s="2266"/>
      <c r="F12" s="2266"/>
      <c r="G12" s="2266"/>
      <c r="H12" s="2266"/>
      <c r="I12" s="2293"/>
      <c r="J12" s="2293"/>
      <c r="K12" s="2263"/>
      <c r="L12" s="1371"/>
      <c r="P12" s="2264"/>
      <c r="Q12" s="2264"/>
      <c r="R12" s="2354"/>
      <c r="S12" s="2350"/>
      <c r="T12" s="2369"/>
      <c r="U12" s="307"/>
      <c r="V12" s="1400"/>
      <c r="W12" s="1401" t="str">
        <f>Z8&amp;"-"&amp;AB8</f>
        <v>-</v>
      </c>
      <c r="X12" s="1400"/>
      <c r="Y12" s="1401" t="str">
        <f>AB8&amp;"-"&amp;AD8</f>
        <v>-да</v>
      </c>
      <c r="Z12" s="1400"/>
      <c r="AA12" s="1400"/>
      <c r="AB12" s="1400"/>
      <c r="AC12" s="1400"/>
      <c r="AD12" s="2119"/>
      <c r="AE12" s="319"/>
      <c r="AF12" s="321"/>
      <c r="AG12" s="423" t="s">
        <v>667</v>
      </c>
      <c r="AH12" s="1400"/>
      <c r="AI12" s="1400"/>
      <c r="AJ12" s="1400"/>
      <c r="AK12" s="1400"/>
      <c r="AL12" s="1400"/>
      <c r="AM12" s="1400"/>
      <c r="AN12" s="1400"/>
      <c r="AO12" s="1400"/>
      <c r="AP12" s="1400"/>
      <c r="AQ12" s="1400"/>
      <c r="AR12" s="1400"/>
      <c r="AS12" s="1400"/>
      <c r="AT12" s="1400"/>
      <c r="AU12" s="1401" t="str">
        <f>AX8&amp;"-"&amp;AZ8</f>
        <v>-</v>
      </c>
      <c r="AV12" s="1400"/>
      <c r="AW12" s="1401" t="str">
        <f>AZ8&amp;"-"&amp;BB8</f>
        <v>-</v>
      </c>
      <c r="AX12" s="1400"/>
      <c r="AY12" s="1400"/>
      <c r="AZ12" s="1400"/>
      <c r="BA12" s="1400"/>
      <c r="BB12" s="1403" t="str">
        <f>BE8&amp;"-"&amp;BG8</f>
        <v>-</v>
      </c>
      <c r="BC12" s="2261"/>
      <c r="BE12" s="507"/>
      <c r="BF12" s="507" t="str">
        <f>IF(T12="","",T12)</f>
        <v/>
      </c>
      <c r="BG12" s="507"/>
      <c r="BH12" s="507"/>
      <c r="BI12" s="1162">
        <v>0</v>
      </c>
    </row>
    <row customHeight="1" ht="11.25" hidden="1">
      <c r="A13" s="1370"/>
      <c r="B13" s="1370"/>
      <c r="C13" s="1370"/>
      <c r="D13" s="1370"/>
      <c r="E13" s="2266"/>
      <c r="F13" s="2266"/>
      <c r="G13" s="2266"/>
      <c r="H13" s="2266"/>
      <c r="I13" s="2293"/>
      <c r="J13" s="2263"/>
      <c r="K13" s="1370"/>
      <c r="L13" s="1371"/>
      <c r="P13" s="2264"/>
      <c r="Q13" s="2264"/>
      <c r="R13" s="363"/>
      <c r="S13" s="1285"/>
      <c r="T13" s="294" t="s">
        <v>628</v>
      </c>
      <c r="U13" s="374"/>
      <c r="V13" s="374"/>
      <c r="W13" s="374"/>
      <c r="X13" s="374"/>
      <c r="Y13" s="374"/>
      <c r="Z13" s="374"/>
      <c r="AA13" s="374"/>
      <c r="AB13" s="374"/>
      <c r="AC13" s="374"/>
      <c r="AD13" s="1512"/>
      <c r="AE13" s="374"/>
      <c r="AF13" s="374"/>
      <c r="AG13" s="374"/>
      <c r="AH13" s="374"/>
      <c r="AI13" s="374"/>
      <c r="AJ13" s="374"/>
      <c r="AK13" s="374"/>
      <c r="AL13" s="374"/>
      <c r="AM13" s="374"/>
      <c r="AN13" s="374"/>
      <c r="AO13" s="374"/>
      <c r="AP13" s="374"/>
      <c r="AQ13" s="374"/>
      <c r="AR13" s="374"/>
      <c r="AS13" s="374"/>
      <c r="AT13" s="374"/>
      <c r="AU13" s="374"/>
      <c r="AV13" s="374"/>
      <c r="AW13" s="374"/>
      <c r="AX13" s="374"/>
      <c r="AY13" s="374"/>
      <c r="AZ13" s="374"/>
      <c r="BA13" s="374"/>
      <c r="BB13" s="331"/>
      <c r="BC13" s="2262"/>
      <c r="BE13" s="507"/>
      <c r="BF13" s="507" t="str">
        <f>IF(T13="","",T13)</f>
        <v>Добавить строку</v>
      </c>
      <c r="BG13" s="507"/>
      <c r="BH13" s="507"/>
      <c r="BI13" s="1162">
        <v>0</v>
      </c>
    </row>
    <row s="1649" customFormat="1" customHeight="1" ht="14.25" hidden="1">
      <c r="A14" s="1350"/>
      <c r="B14" s="1350"/>
      <c r="C14" s="1350"/>
      <c r="D14" s="1350"/>
      <c r="E14" s="2266"/>
      <c r="F14" s="2266"/>
      <c r="G14" s="2266"/>
      <c r="H14" s="2266"/>
      <c r="I14" s="2263"/>
      <c r="J14" s="1350"/>
      <c r="K14" s="1350"/>
      <c r="L14" s="1353"/>
      <c r="M14" s="517"/>
      <c r="N14" s="517"/>
      <c r="O14" s="517"/>
      <c r="P14" s="2264"/>
      <c r="Q14" s="1488"/>
      <c r="R14" s="363"/>
      <c r="S14" s="1393"/>
      <c r="T14" s="1394"/>
      <c r="U14" s="1395"/>
      <c r="V14" s="1395"/>
      <c r="W14" s="1395"/>
      <c r="X14" s="1395"/>
      <c r="Y14" s="1395"/>
      <c r="Z14" s="1395"/>
      <c r="AA14" s="1395"/>
      <c r="AB14" s="1395"/>
      <c r="AC14" s="1395"/>
      <c r="AD14" s="1395"/>
      <c r="AE14" s="1395"/>
      <c r="AF14" s="1395"/>
      <c r="AG14" s="1395"/>
      <c r="AH14" s="1395"/>
      <c r="AI14" s="1395"/>
      <c r="AJ14" s="1395"/>
      <c r="AK14" s="1395"/>
      <c r="AL14" s="1395"/>
      <c r="AM14" s="1395"/>
      <c r="AN14" s="1395"/>
      <c r="AO14" s="1395"/>
      <c r="AP14" s="1395"/>
      <c r="AQ14" s="1395"/>
      <c r="AR14" s="1395"/>
      <c r="AS14" s="1395"/>
      <c r="AT14" s="1395"/>
      <c r="AU14" s="1395"/>
      <c r="AV14" s="1395"/>
      <c r="AW14" s="1395"/>
      <c r="AX14" s="1395"/>
      <c r="AY14" s="1395"/>
      <c r="AZ14" s="1395"/>
      <c r="BA14" s="1395"/>
      <c r="BB14" s="1395"/>
      <c r="BC14" s="1396"/>
      <c r="BE14" s="507"/>
      <c r="BF14" s="507" t="str">
        <f>IF(T14="","",T14)</f>
        <v/>
      </c>
      <c r="BG14" s="507"/>
      <c r="BH14" s="507"/>
      <c r="BI14" s="518">
        <v>0</v>
      </c>
    </row>
    <row s="1649" customFormat="1" customHeight="1" ht="14.25" hidden="1">
      <c r="A15" s="1350"/>
      <c r="B15" s="1350"/>
      <c r="C15" s="1350"/>
      <c r="D15" s="1350"/>
      <c r="E15" s="2266"/>
      <c r="F15" s="2266"/>
      <c r="G15" s="2266"/>
      <c r="H15" s="2265"/>
      <c r="I15" s="1350"/>
      <c r="J15" s="1350"/>
      <c r="K15" s="1350"/>
      <c r="L15" s="1353"/>
      <c r="M15" s="1322"/>
      <c r="N15" s="1322"/>
      <c r="O15" s="525"/>
      <c r="P15" s="387"/>
      <c r="Q15" s="1351"/>
      <c r="R15" s="1408"/>
      <c r="S15" s="1393"/>
      <c r="T15" s="1394"/>
      <c r="U15" s="1395"/>
      <c r="V15" s="1395"/>
      <c r="W15" s="1395"/>
      <c r="X15" s="1395"/>
      <c r="Y15" s="1395"/>
      <c r="Z15" s="1395"/>
      <c r="AA15" s="1395"/>
      <c r="AB15" s="1395"/>
      <c r="AC15" s="1395"/>
      <c r="AD15" s="1395"/>
      <c r="AE15" s="1395"/>
      <c r="AF15" s="1395"/>
      <c r="AG15" s="1395"/>
      <c r="AH15" s="1395"/>
      <c r="AI15" s="1395"/>
      <c r="AJ15" s="1395"/>
      <c r="AK15" s="1395"/>
      <c r="AL15" s="1395"/>
      <c r="AM15" s="1395"/>
      <c r="AN15" s="1395"/>
      <c r="AO15" s="1395"/>
      <c r="AP15" s="1395"/>
      <c r="AQ15" s="1395"/>
      <c r="AR15" s="1395"/>
      <c r="AS15" s="1395"/>
      <c r="AT15" s="1395"/>
      <c r="AU15" s="1395"/>
      <c r="AV15" s="1395"/>
      <c r="AW15" s="1395"/>
      <c r="AX15" s="1395"/>
      <c r="AY15" s="1395"/>
      <c r="AZ15" s="1395"/>
      <c r="BA15" s="1395"/>
      <c r="BB15" s="1395"/>
      <c r="BC15" s="1396"/>
      <c r="BE15" s="507"/>
      <c r="BF15" s="507" t="str">
        <f>IF(T15="","",T15)</f>
        <v/>
      </c>
      <c r="BG15" s="507"/>
      <c r="BH15" s="507"/>
      <c r="BI15" s="518">
        <v>0</v>
      </c>
    </row>
    <row s="1649" customFormat="1" customHeight="1" ht="14.25" hidden="1">
      <c r="A16" s="1350"/>
      <c r="B16" s="1350"/>
      <c r="C16" s="1350"/>
      <c r="D16" s="1321"/>
      <c r="E16" s="2266"/>
      <c r="F16" s="2266"/>
      <c r="G16" s="2265"/>
      <c r="H16" s="1321"/>
      <c r="I16" s="1321"/>
      <c r="J16" s="1321"/>
      <c r="K16" s="1321"/>
      <c r="L16" s="1501"/>
      <c r="M16" s="1322"/>
      <c r="N16" s="1322"/>
      <c r="P16" s="1323"/>
      <c r="Q16" s="1324"/>
      <c r="R16" s="1323"/>
      <c r="S16" s="1329"/>
      <c r="T16" s="1332"/>
      <c r="U16" s="1331"/>
      <c r="V16" s="1331"/>
      <c r="W16" s="1331"/>
      <c r="X16" s="1331"/>
      <c r="Y16" s="1331"/>
      <c r="Z16" s="1331"/>
      <c r="AA16" s="1331"/>
      <c r="AB16" s="1331"/>
      <c r="AC16" s="1331"/>
      <c r="AD16" s="1331"/>
      <c r="AE16" s="1331"/>
      <c r="AF16" s="1331"/>
      <c r="AG16" s="1331"/>
      <c r="AH16" s="1331"/>
      <c r="AI16" s="1331"/>
      <c r="AJ16" s="1331"/>
      <c r="AK16" s="1331"/>
      <c r="AL16" s="1331"/>
      <c r="AM16" s="1331"/>
      <c r="AN16" s="1331"/>
      <c r="AO16" s="1331"/>
      <c r="AP16" s="1331"/>
      <c r="AQ16" s="1331"/>
      <c r="AR16" s="1331"/>
      <c r="AS16" s="1331"/>
      <c r="AT16" s="1331"/>
      <c r="AU16" s="1331"/>
      <c r="AV16" s="1331"/>
      <c r="AW16" s="1331"/>
      <c r="AX16" s="1331"/>
      <c r="AY16" s="1331"/>
      <c r="AZ16" s="1331"/>
      <c r="BA16" s="1331"/>
      <c r="BB16" s="1331"/>
      <c r="BC16" s="1331"/>
      <c r="BE16" s="796"/>
      <c r="BF16" s="796" t="str">
        <f>IF(T16="","",T16)</f>
        <v/>
      </c>
      <c r="BG16" s="796"/>
      <c r="BH16" s="796"/>
      <c r="BI16" s="525">
        <v>0</v>
      </c>
    </row>
    <row s="1649" customFormat="1" customHeight="1" ht="14.25" hidden="1">
      <c r="A17" s="1350"/>
      <c r="B17" s="1350"/>
      <c r="C17" s="1321"/>
      <c r="D17" s="1321"/>
      <c r="E17" s="2266"/>
      <c r="F17" s="2265"/>
      <c r="G17" s="1321"/>
      <c r="H17" s="1321"/>
      <c r="I17" s="1321"/>
      <c r="J17" s="1321"/>
      <c r="K17" s="1321"/>
      <c r="L17" s="1501"/>
      <c r="M17" s="1328"/>
      <c r="N17" s="1328"/>
      <c r="P17" s="1323"/>
      <c r="Q17" s="1324"/>
      <c r="R17" s="1323"/>
      <c r="S17" s="1329"/>
      <c r="T17" s="1332" t="s">
        <v>316</v>
      </c>
      <c r="U17" s="1331"/>
      <c r="V17" s="1331"/>
      <c r="W17" s="1331"/>
      <c r="X17" s="1331"/>
      <c r="Y17" s="1331"/>
      <c r="Z17" s="1331"/>
      <c r="AA17" s="1331"/>
      <c r="AB17" s="1331"/>
      <c r="AC17" s="1331"/>
      <c r="AD17" s="1331"/>
      <c r="AE17" s="1331"/>
      <c r="AF17" s="1331"/>
      <c r="AG17" s="1331"/>
      <c r="AH17" s="1331"/>
      <c r="AI17" s="1331"/>
      <c r="AJ17" s="1331"/>
      <c r="AK17" s="1331"/>
      <c r="AL17" s="1331"/>
      <c r="AM17" s="1331"/>
      <c r="AN17" s="1331"/>
      <c r="AO17" s="1331"/>
      <c r="AP17" s="1331"/>
      <c r="AQ17" s="1331"/>
      <c r="AR17" s="1331"/>
      <c r="AS17" s="1331"/>
      <c r="AT17" s="1331"/>
      <c r="AU17" s="1331"/>
      <c r="AV17" s="1331"/>
      <c r="AW17" s="1331"/>
      <c r="AX17" s="1331"/>
      <c r="AY17" s="1331"/>
      <c r="AZ17" s="1331"/>
      <c r="BA17" s="1331"/>
      <c r="BB17" s="1331"/>
      <c r="BC17" s="1331"/>
      <c r="BE17" s="796"/>
      <c r="BF17" s="796" t="str">
        <f>IF(T17="","",T17)</f>
        <v>Добавить централизованную систему для дифференциации</v>
      </c>
      <c r="BG17" s="796"/>
      <c r="BH17" s="796"/>
      <c r="BI17" s="525">
        <v>0</v>
      </c>
    </row>
    <row s="1649" customFormat="1" customHeight="1" ht="14.25" hidden="1">
      <c r="A18" s="1350"/>
      <c r="B18" s="1350"/>
      <c r="C18" s="1350"/>
      <c r="D18" s="1350"/>
      <c r="E18" s="2265"/>
      <c r="F18" s="1350"/>
      <c r="G18" s="1350"/>
      <c r="H18" s="1350"/>
      <c r="I18" s="1350"/>
      <c r="J18" s="1350"/>
      <c r="K18" s="1350"/>
      <c r="L18" s="1353"/>
      <c r="M18" s="1328"/>
      <c r="N18" s="1328"/>
      <c r="O18" s="525"/>
      <c r="P18" s="387"/>
      <c r="Q18" s="1351"/>
      <c r="R18" s="387"/>
      <c r="S18" s="1329"/>
      <c r="T18" s="1332" t="s">
        <v>390</v>
      </c>
      <c r="U18" s="1331"/>
      <c r="V18" s="1331"/>
      <c r="W18" s="1331"/>
      <c r="X18" s="1331"/>
      <c r="Y18" s="1331"/>
      <c r="Z18" s="1331"/>
      <c r="AA18" s="1331"/>
      <c r="AB18" s="1331"/>
      <c r="AC18" s="1331"/>
      <c r="AD18" s="1331"/>
      <c r="AE18" s="1331"/>
      <c r="AF18" s="1331"/>
      <c r="AG18" s="1331"/>
      <c r="AH18" s="1331"/>
      <c r="AI18" s="1331"/>
      <c r="AJ18" s="1331"/>
      <c r="AK18" s="1331"/>
      <c r="AL18" s="1331"/>
      <c r="AM18" s="1331"/>
      <c r="AN18" s="1331"/>
      <c r="AO18" s="1331"/>
      <c r="AP18" s="1331"/>
      <c r="AQ18" s="1331"/>
      <c r="AR18" s="1331"/>
      <c r="AS18" s="1331"/>
      <c r="AT18" s="1331"/>
      <c r="AU18" s="1331"/>
      <c r="AV18" s="1331"/>
      <c r="AW18" s="1331"/>
      <c r="AX18" s="1331"/>
      <c r="AY18" s="1331"/>
      <c r="AZ18" s="1331"/>
      <c r="BA18" s="1331"/>
      <c r="BB18" s="1331"/>
      <c r="BC18" s="1331"/>
      <c r="BE18" s="507"/>
      <c r="BF18" s="507" t="str">
        <f>IF(T18="","",T18)</f>
        <v>Добавить территорию для дифференциации</v>
      </c>
      <c r="BG18" s="507"/>
      <c r="BH18" s="507"/>
      <c r="BI18" s="518">
        <v>0</v>
      </c>
    </row>
    <row customHeight="1" ht="14.25" hidden="1">
      <c r="AC19" s="334"/>
      <c r="BA19" s="334"/>
      <c r="BI19" s="1162">
        <v>0</v>
      </c>
    </row>
    <row customHeight="1" ht="14.25" hidden="1">
      <c r="AD20" s="1331" t="s">
        <v>19</v>
      </c>
      <c r="AE20" s="1508"/>
      <c r="AF20" s="555">
        <v>1</v>
      </c>
      <c r="AG20" s="1509"/>
      <c r="AH20" s="1331" t="s">
        <v>19</v>
      </c>
      <c r="AI20" s="1508"/>
      <c r="AJ20" s="555">
        <v>1</v>
      </c>
      <c r="AK20" s="1509"/>
      <c r="AL20" s="1331" t="s">
        <v>19</v>
      </c>
      <c r="AM20" s="1510"/>
      <c r="AN20" s="555">
        <v>1</v>
      </c>
      <c r="AO20" s="1511"/>
      <c r="AP20" s="1331" t="s">
        <v>19</v>
      </c>
      <c r="AQ20" s="1510"/>
      <c r="AR20" s="555">
        <v>1</v>
      </c>
      <c r="AS20" s="1511"/>
      <c r="AT20" s="332"/>
      <c r="AU20" s="391"/>
      <c r="AV20" s="332"/>
      <c r="AW20" s="391"/>
      <c r="AX20" s="1743"/>
      <c r="AY20" s="1492" t="s">
        <v>66</v>
      </c>
      <c r="AZ20" s="1743"/>
      <c r="BA20" s="1492" t="s">
        <v>66</v>
      </c>
      <c r="BI20" s="1162">
        <v>0</v>
      </c>
    </row>
    <row customHeight="1" ht="14.25" hidden="1">
      <c r="BD21" s="503"/>
      <c r="BE21" s="503"/>
      <c r="BF21" s="503"/>
      <c r="BG21" s="503"/>
      <c r="BH21" s="503"/>
      <c r="BI21" s="1162">
        <v>0</v>
      </c>
    </row>
    <row customHeight="1" ht="14.25" hidden="1">
      <c r="O22" s="1374" t="s">
        <v>578</v>
      </c>
      <c r="Z22" s="1352"/>
      <c r="AB22" s="1352"/>
      <c r="AC22" s="334"/>
      <c r="AX22" s="1352"/>
      <c r="AZ22" s="1352"/>
      <c r="BA22" s="334"/>
      <c r="BD22" s="503"/>
      <c r="BE22" s="503"/>
      <c r="BF22" s="503"/>
      <c r="BG22" s="503"/>
      <c r="BH22" s="503"/>
      <c r="BI22" s="1162">
        <v>0</v>
      </c>
    </row>
    <row customHeight="1" ht="14.25" hidden="1">
      <c r="AC23" s="334"/>
      <c r="BA23" s="334"/>
      <c r="BD23" s="503"/>
      <c r="BE23" s="503"/>
      <c r="BF23" s="503"/>
      <c r="BG23" s="503"/>
      <c r="BH23" s="503"/>
      <c r="BI23" s="1162">
        <v>0</v>
      </c>
    </row>
    <row s="1516" customFormat="1" customHeight="1" ht="14.25" hidden="1">
      <c r="M24" s="1515"/>
      <c r="N24" s="1515"/>
      <c r="O24" s="1516" t="s">
        <v>579</v>
      </c>
      <c r="P24" s="1515"/>
      <c r="Q24" s="1517"/>
      <c r="R24" s="1517"/>
      <c r="AA24" s="1514" t="s">
        <v>581</v>
      </c>
      <c r="AC24" s="1514" t="s">
        <v>582</v>
      </c>
      <c r="AD24" s="1514" t="s">
        <v>629</v>
      </c>
      <c r="AH24" s="1514" t="s">
        <v>629</v>
      </c>
      <c r="AK24" s="1514" t="s">
        <v>668</v>
      </c>
      <c r="AL24" s="1514" t="s">
        <v>629</v>
      </c>
      <c r="AP24" s="1514" t="s">
        <v>629</v>
      </c>
      <c r="AY24" s="1514" t="s">
        <v>581</v>
      </c>
      <c r="BA24" s="1514" t="s">
        <v>582</v>
      </c>
      <c r="BD24" s="1518"/>
      <c r="BE24" s="1518"/>
      <c r="BF24" s="1518"/>
      <c r="BG24" s="1518"/>
      <c r="BH24" s="1518"/>
      <c r="BI24" s="1514">
        <v>0</v>
      </c>
    </row>
    <row customHeight="1" ht="14.25" hidden="1">
      <c r="O25" s="1371"/>
      <c r="BD25" s="503"/>
      <c r="BE25" s="503"/>
      <c r="BF25" s="503"/>
      <c r="BG25" s="503"/>
      <c r="BH25" s="503"/>
      <c r="BI25" s="1162">
        <v>0</v>
      </c>
    </row>
    <row customHeight="1" ht="14.25" hidden="1">
      <c r="O26" s="1371"/>
      <c r="BD26" s="503"/>
      <c r="BE26" s="503"/>
      <c r="BF26" s="503"/>
      <c r="BG26" s="503"/>
      <c r="BH26" s="503"/>
      <c r="BI26" s="1162">
        <v>0</v>
      </c>
    </row>
    <row customHeight="1" ht="14.699999999999998">
      <c r="Q27" s="298"/>
      <c r="R27" s="383"/>
      <c r="S27" s="1282"/>
      <c r="T27" s="370"/>
      <c r="U27" s="370"/>
      <c r="V27" s="516"/>
      <c r="W27" s="516"/>
      <c r="X27" s="516"/>
      <c r="Y27" s="516"/>
      <c r="Z27" s="516"/>
      <c r="AA27" s="516"/>
      <c r="AB27" s="516"/>
      <c r="AC27" s="516"/>
      <c r="AD27" s="516"/>
      <c r="AE27" s="516"/>
      <c r="AF27" s="516"/>
      <c r="AG27" s="516"/>
      <c r="AH27" s="516"/>
      <c r="AI27" s="516"/>
      <c r="AJ27" s="516"/>
      <c r="AK27" s="516"/>
      <c r="AL27" s="516"/>
      <c r="AM27" s="516"/>
      <c r="AN27" s="516"/>
      <c r="AO27" s="516"/>
      <c r="AP27" s="516"/>
      <c r="AQ27" s="516"/>
      <c r="AR27" s="516"/>
      <c r="AS27" s="516"/>
      <c r="AT27" s="516"/>
      <c r="AU27" s="516"/>
      <c r="AV27" s="516"/>
      <c r="AW27" s="516"/>
      <c r="AX27" s="516"/>
      <c r="AY27" s="516"/>
      <c r="AZ27" s="516"/>
      <c r="BA27" s="516"/>
      <c r="BI27" s="1162">
        <v>14</v>
      </c>
    </row>
    <row customHeight="1" ht="14.699999999999998">
      <c r="Q28" s="298"/>
      <c r="R28" s="383"/>
      <c r="S28" s="2255"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5"/>
      <c r="U28" s="2255"/>
      <c r="V28" s="2255"/>
      <c r="W28" s="2255"/>
      <c r="X28" s="2255"/>
      <c r="Y28" s="2255"/>
      <c r="Z28" s="2255"/>
      <c r="AA28" s="2255"/>
      <c r="AB28" s="2255"/>
      <c r="AC28" s="2255"/>
      <c r="AD28" s="2255"/>
      <c r="AE28" s="2255"/>
      <c r="AF28" s="2255"/>
      <c r="AG28" s="2255"/>
      <c r="AH28" s="2255"/>
      <c r="AI28" s="2255"/>
      <c r="AJ28" s="2255"/>
      <c r="AK28" s="2255"/>
      <c r="AL28" s="2255"/>
      <c r="AM28" s="2255"/>
      <c r="AN28" s="2255"/>
      <c r="AO28" s="2255"/>
      <c r="AP28" s="2255"/>
      <c r="AQ28" s="2255"/>
      <c r="AR28" s="2255"/>
      <c r="AS28" s="2255"/>
      <c r="AT28" s="2255"/>
      <c r="AU28" s="2255"/>
      <c r="AV28" s="2255"/>
      <c r="AW28" s="2255"/>
      <c r="AX28" s="2255"/>
      <c r="AY28" s="2255"/>
      <c r="AZ28" s="2255"/>
      <c r="BA28" s="1250"/>
      <c r="BI28" s="1162">
        <v>14</v>
      </c>
    </row>
    <row customHeight="1" ht="14.699999999999998">
      <c r="Q29" s="298"/>
      <c r="R29" s="383"/>
      <c r="S29" s="2256" t="str">
        <f>IF(org=0,"Не определено",org)</f>
        <v>ГУП "Белоблводоканал"</v>
      </c>
      <c r="T29" s="2256"/>
      <c r="U29" s="2256"/>
      <c r="V29" s="2256"/>
      <c r="W29" s="2256"/>
      <c r="X29" s="2256"/>
      <c r="Y29" s="2256"/>
      <c r="Z29" s="2256"/>
      <c r="AA29" s="2256"/>
      <c r="AB29" s="2256"/>
      <c r="AC29" s="2256"/>
      <c r="AD29" s="2256"/>
      <c r="AE29" s="2256"/>
      <c r="AF29" s="2256"/>
      <c r="AG29" s="2256"/>
      <c r="AH29" s="2256"/>
      <c r="AI29" s="2256"/>
      <c r="AJ29" s="2256"/>
      <c r="AK29" s="2256"/>
      <c r="AL29" s="2256"/>
      <c r="AM29" s="2256"/>
      <c r="AN29" s="2256"/>
      <c r="AO29" s="2256"/>
      <c r="AP29" s="2256"/>
      <c r="AQ29" s="2256"/>
      <c r="AR29" s="2256"/>
      <c r="AS29" s="2256"/>
      <c r="AT29" s="2256"/>
      <c r="AU29" s="2256"/>
      <c r="AV29" s="2256"/>
      <c r="AW29" s="2256"/>
      <c r="AX29" s="2256"/>
      <c r="AY29" s="2256"/>
      <c r="AZ29" s="2256"/>
      <c r="BA29" s="1250"/>
      <c r="BI29" s="1162">
        <v>14</v>
      </c>
    </row>
    <row customHeight="1" ht="14.25" hidden="1">
      <c r="Q30" s="298"/>
      <c r="R30" s="383"/>
      <c r="S30" s="1282"/>
      <c r="T30" s="370"/>
      <c r="U30" s="370"/>
      <c r="V30" s="329"/>
      <c r="W30" s="329"/>
      <c r="X30" s="329"/>
      <c r="Y30" s="329"/>
      <c r="Z30" s="329"/>
      <c r="AA30" s="329"/>
      <c r="AB30" s="329"/>
      <c r="AC30" s="329"/>
      <c r="AD30" s="329"/>
      <c r="AE30" s="329"/>
      <c r="AF30" s="329"/>
      <c r="AG30" s="329"/>
      <c r="AH30" s="329"/>
      <c r="AI30" s="329"/>
      <c r="AJ30" s="329"/>
      <c r="AK30" s="329"/>
      <c r="AL30" s="329"/>
      <c r="AM30" s="329"/>
      <c r="AN30" s="329"/>
      <c r="AO30" s="329"/>
      <c r="AP30" s="329"/>
      <c r="AQ30" s="329"/>
      <c r="AR30" s="329"/>
      <c r="AS30" s="329"/>
      <c r="AT30" s="329"/>
      <c r="AU30" s="329"/>
      <c r="AV30" s="329"/>
      <c r="AW30" s="329"/>
      <c r="AX30" s="329"/>
      <c r="AY30" s="329"/>
      <c r="AZ30" s="329"/>
      <c r="BA30" s="329"/>
      <c r="BB30" s="516"/>
      <c r="BI30" s="1162">
        <v>0</v>
      </c>
    </row>
    <row s="1860" customFormat="1" customHeight="1" ht="25.5" hidden="1">
      <c r="A31" s="1375"/>
      <c r="B31" s="1375"/>
      <c r="C31" s="1375"/>
      <c r="D31" s="1375"/>
      <c r="E31" s="1375"/>
      <c r="F31" s="1375"/>
      <c r="G31" s="1375"/>
      <c r="H31" s="1375"/>
      <c r="I31" s="1375"/>
      <c r="J31" s="1375"/>
      <c r="K31" s="1375"/>
      <c r="L31" s="1376"/>
      <c r="M31" s="1375"/>
      <c r="N31" s="1375"/>
      <c r="O31" s="1375"/>
      <c r="P31" s="1375"/>
      <c r="Q31" s="1375"/>
      <c r="S31" s="2257" t="s">
        <v>42</v>
      </c>
      <c r="T31" s="2257"/>
      <c r="U31" s="1379"/>
      <c r="V31" s="2258" t="str">
        <f>IF(TITLE_NAME_OR_PR_CHANGE="",IF(TITLE_NAME_OR_PR="","",TITLE_NAME_OR_PR),TITLE_NAME_OR_PR_CHANGE)</f>
        <v/>
      </c>
      <c r="W31" s="2258"/>
      <c r="X31" s="2258"/>
      <c r="Y31" s="2258"/>
      <c r="Z31" s="2258"/>
      <c r="AA31" s="2258"/>
      <c r="AB31" s="2258"/>
      <c r="AC31" s="333"/>
      <c r="AD31" s="2258" t="str">
        <f>IF(TITLE_NAME_OR_PR_CHANGE="",IF(TITLE_NAME_OR_PR="","",TITLE_NAME_OR_PR),TITLE_NAME_OR_PR_CHANGE)</f>
        <v/>
      </c>
      <c r="AE31" s="2258"/>
      <c r="AF31" s="2258"/>
      <c r="AG31" s="2258"/>
      <c r="AH31" s="2258"/>
      <c r="AI31" s="2258"/>
      <c r="AJ31" s="2258"/>
      <c r="AK31" s="2258"/>
      <c r="AL31" s="2258"/>
      <c r="AM31" s="2258"/>
      <c r="AN31" s="2258"/>
      <c r="AO31" s="2258"/>
      <c r="AP31" s="2258"/>
      <c r="AQ31" s="2258"/>
      <c r="AR31" s="2258"/>
      <c r="AS31" s="2258"/>
      <c r="AT31" s="2258"/>
      <c r="AU31" s="2258"/>
      <c r="AV31" s="2258"/>
      <c r="AW31" s="2258"/>
      <c r="AX31" s="2258"/>
      <c r="AY31" s="2258"/>
      <c r="AZ31" s="2258"/>
      <c r="BA31" s="333"/>
      <c r="BB31" s="333"/>
      <c r="BC31" s="287"/>
      <c r="BD31" s="375"/>
      <c r="BE31" s="375"/>
      <c r="BF31" s="375"/>
      <c r="BG31" s="375"/>
      <c r="BH31" s="375"/>
      <c r="BI31" s="425">
        <v>0</v>
      </c>
    </row>
    <row s="1860" customFormat="1" customHeight="1" ht="18.75" hidden="1">
      <c r="A32" s="1375"/>
      <c r="B32" s="1375"/>
      <c r="C32" s="1375"/>
      <c r="D32" s="1375"/>
      <c r="E32" s="1375"/>
      <c r="F32" s="1375"/>
      <c r="G32" s="1375"/>
      <c r="H32" s="1375"/>
      <c r="I32" s="1375"/>
      <c r="J32" s="1375"/>
      <c r="K32" s="1375"/>
      <c r="L32" s="1376"/>
      <c r="M32" s="1375"/>
      <c r="N32" s="1375"/>
      <c r="O32" s="1375"/>
      <c r="P32" s="1375"/>
      <c r="Q32" s="1375"/>
      <c r="S32" s="2257" t="s">
        <v>584</v>
      </c>
      <c r="T32" s="2257"/>
      <c r="U32" s="1379"/>
      <c r="V32" s="2271" t="str">
        <f>IF(TITLE_DATE_PR_CHANGE="",IF(TITLE_DATE_PR="","",TITLE_DATE_PR),TITLE_DATE_PR_CHANGE)</f>
        <v>45432</v>
      </c>
      <c r="W32" s="2271"/>
      <c r="X32" s="2271"/>
      <c r="Y32" s="2271"/>
      <c r="Z32" s="2271"/>
      <c r="AA32" s="2271"/>
      <c r="AB32" s="2271"/>
      <c r="AC32" s="333"/>
      <c r="AD32" s="2271" t="str">
        <f>IF(TITLE_DATE_PR_CHANGE="",IF(TITLE_DATE_PR="","",TITLE_DATE_PR),TITLE_DATE_PR_CHANGE)</f>
        <v>45432</v>
      </c>
      <c r="AE32" s="2271"/>
      <c r="AF32" s="2271"/>
      <c r="AG32" s="2271"/>
      <c r="AH32" s="2271"/>
      <c r="AI32" s="2271"/>
      <c r="AJ32" s="2271"/>
      <c r="AK32" s="2271"/>
      <c r="AL32" s="2271"/>
      <c r="AM32" s="2271"/>
      <c r="AN32" s="2271"/>
      <c r="AO32" s="2271"/>
      <c r="AP32" s="2271"/>
      <c r="AQ32" s="2271"/>
      <c r="AR32" s="2271"/>
      <c r="AS32" s="2271"/>
      <c r="AT32" s="2271"/>
      <c r="AU32" s="2271"/>
      <c r="AV32" s="2271"/>
      <c r="AW32" s="2271"/>
      <c r="AX32" s="2271"/>
      <c r="AY32" s="2271"/>
      <c r="AZ32" s="2271"/>
      <c r="BA32" s="333"/>
      <c r="BB32" s="333"/>
      <c r="BC32" s="287"/>
      <c r="BD32" s="375"/>
      <c r="BE32" s="375"/>
      <c r="BF32" s="375"/>
      <c r="BG32" s="375"/>
      <c r="BH32" s="375"/>
      <c r="BI32" s="425">
        <v>0</v>
      </c>
    </row>
    <row s="1860" customFormat="1" customHeight="1" ht="18.75" hidden="1">
      <c r="A33" s="1375"/>
      <c r="B33" s="1375"/>
      <c r="C33" s="1375"/>
      <c r="D33" s="1375"/>
      <c r="E33" s="1375"/>
      <c r="F33" s="1375"/>
      <c r="G33" s="1375"/>
      <c r="H33" s="1375"/>
      <c r="I33" s="1375"/>
      <c r="J33" s="1375"/>
      <c r="K33" s="1375"/>
      <c r="L33" s="1376"/>
      <c r="M33" s="1375"/>
      <c r="N33" s="1375"/>
      <c r="O33" s="1375"/>
      <c r="P33" s="1375"/>
      <c r="Q33" s="1375"/>
      <c r="S33" s="2257" t="s">
        <v>585</v>
      </c>
      <c r="T33" s="2257"/>
      <c r="U33" s="1379"/>
      <c r="V33" s="2258" t="str">
        <f>IF(TITLE_NUMBER_PR_CHANGE="",IF(TITLE_NUMBER_PR="","",TITLE_NUMBER_PR),TITLE_NUMBER_PR_CHANGE)</f>
        <v>29-12/1427</v>
      </c>
      <c r="W33" s="2258"/>
      <c r="X33" s="2258"/>
      <c r="Y33" s="2258"/>
      <c r="Z33" s="2258"/>
      <c r="AA33" s="2258"/>
      <c r="AB33" s="2258"/>
      <c r="AC33" s="333"/>
      <c r="AD33" s="2258" t="str">
        <f>IF(TITLE_NUMBER_PR_CHANGE="",IF(TITLE_NUMBER_PR="","",TITLE_NUMBER_PR),TITLE_NUMBER_PR_CHANGE)</f>
        <v>29-12/1427</v>
      </c>
      <c r="AE33" s="2258"/>
      <c r="AF33" s="2258"/>
      <c r="AG33" s="2258"/>
      <c r="AH33" s="2258"/>
      <c r="AI33" s="2258"/>
      <c r="AJ33" s="2258"/>
      <c r="AK33" s="2258"/>
      <c r="AL33" s="2258"/>
      <c r="AM33" s="2258"/>
      <c r="AN33" s="2258"/>
      <c r="AO33" s="2258"/>
      <c r="AP33" s="2258"/>
      <c r="AQ33" s="2258"/>
      <c r="AR33" s="2258"/>
      <c r="AS33" s="2258"/>
      <c r="AT33" s="2258"/>
      <c r="AU33" s="2258"/>
      <c r="AV33" s="2258"/>
      <c r="AW33" s="2258"/>
      <c r="AX33" s="2258"/>
      <c r="AY33" s="2258"/>
      <c r="AZ33" s="2258"/>
      <c r="BA33" s="333"/>
      <c r="BB33" s="333"/>
      <c r="BC33" s="287"/>
      <c r="BD33" s="375"/>
      <c r="BE33" s="375"/>
      <c r="BF33" s="375"/>
      <c r="BG33" s="375"/>
      <c r="BH33" s="375"/>
      <c r="BI33" s="425">
        <v>0</v>
      </c>
    </row>
    <row s="1860" customFormat="1" customHeight="1" ht="18.75" hidden="1">
      <c r="A34" s="1375"/>
      <c r="B34" s="1375"/>
      <c r="C34" s="1375"/>
      <c r="D34" s="1375"/>
      <c r="E34" s="1375"/>
      <c r="F34" s="1375"/>
      <c r="G34" s="1375"/>
      <c r="H34" s="1375"/>
      <c r="I34" s="1375"/>
      <c r="J34" s="1375"/>
      <c r="K34" s="1375"/>
      <c r="L34" s="1376"/>
      <c r="M34" s="1375"/>
      <c r="N34" s="1375"/>
      <c r="O34" s="1375"/>
      <c r="P34" s="1375"/>
      <c r="Q34" s="1375"/>
      <c r="S34" s="2257" t="s">
        <v>43</v>
      </c>
      <c r="T34" s="2257"/>
      <c r="U34" s="1379"/>
      <c r="V34" s="2258" t="str">
        <f>IF(TITLE_IST_PUB_CHANGE="",IF(TITLE_IST_PUB="","",TITLE_IST_PUB),TITLE_IST_PUB_CHANGE)</f>
        <v/>
      </c>
      <c r="W34" s="2258"/>
      <c r="X34" s="2258"/>
      <c r="Y34" s="2258"/>
      <c r="Z34" s="2258"/>
      <c r="AA34" s="2258"/>
      <c r="AB34" s="2258"/>
      <c r="AC34" s="333"/>
      <c r="AD34" s="2258" t="str">
        <f>IF(TITLE_IST_PUB_CHANGE="",IF(TITLE_IST_PUB="","",TITLE_IST_PUB),TITLE_IST_PUB_CHANGE)</f>
        <v/>
      </c>
      <c r="AE34" s="2258"/>
      <c r="AF34" s="2258"/>
      <c r="AG34" s="2258"/>
      <c r="AH34" s="2258"/>
      <c r="AI34" s="2258"/>
      <c r="AJ34" s="2258"/>
      <c r="AK34" s="2258"/>
      <c r="AL34" s="2258"/>
      <c r="AM34" s="2258"/>
      <c r="AN34" s="2258"/>
      <c r="AO34" s="2258"/>
      <c r="AP34" s="2258"/>
      <c r="AQ34" s="2258"/>
      <c r="AR34" s="2258"/>
      <c r="AS34" s="2258"/>
      <c r="AT34" s="2258"/>
      <c r="AU34" s="2258"/>
      <c r="AV34" s="2258"/>
      <c r="AW34" s="2258"/>
      <c r="AX34" s="2258"/>
      <c r="AY34" s="2258"/>
      <c r="AZ34" s="2258"/>
      <c r="BA34" s="333"/>
      <c r="BB34" s="333"/>
      <c r="BC34" s="287"/>
      <c r="BD34" s="375"/>
      <c r="BE34" s="375"/>
      <c r="BF34" s="375"/>
      <c r="BG34" s="375"/>
      <c r="BH34" s="375"/>
      <c r="BI34" s="425">
        <v>0</v>
      </c>
    </row>
    <row customHeight="1" ht="14.25">
      <c r="Q35" s="298"/>
      <c r="R35" s="383"/>
      <c r="S35" s="1282"/>
      <c r="T35" s="370"/>
      <c r="U35" s="370"/>
      <c r="V35" s="329"/>
      <c r="W35" s="329"/>
      <c r="X35" s="329"/>
      <c r="Y35" s="329"/>
      <c r="Z35" s="329"/>
      <c r="AA35" s="329"/>
      <c r="AB35" s="329"/>
      <c r="AC35" s="329"/>
      <c r="AD35" s="329"/>
      <c r="AE35" s="329"/>
      <c r="AF35" s="329"/>
      <c r="AG35" s="329"/>
      <c r="AH35" s="329"/>
      <c r="AI35" s="329"/>
      <c r="AJ35" s="329"/>
      <c r="AK35" s="329"/>
      <c r="AL35" s="329"/>
      <c r="AM35" s="329"/>
      <c r="AN35" s="329"/>
      <c r="AO35" s="329"/>
      <c r="AP35" s="329"/>
      <c r="AQ35" s="329"/>
      <c r="AR35" s="329"/>
      <c r="AS35" s="329"/>
      <c r="AT35" s="329"/>
      <c r="AU35" s="329"/>
      <c r="AV35" s="329"/>
      <c r="AW35" s="329"/>
      <c r="AX35" s="329"/>
      <c r="AY35" s="329"/>
      <c r="AZ35" s="329"/>
      <c r="BA35" s="329"/>
      <c r="BB35" s="516"/>
      <c r="BI35" s="1162">
        <v>0</v>
      </c>
    </row>
    <row s="1860" customFormat="1" customHeight="1" ht="18.75">
      <c r="A36" s="1375"/>
      <c r="B36" s="1375"/>
      <c r="C36" s="1375"/>
      <c r="D36" s="1375"/>
      <c r="E36" s="1375"/>
      <c r="F36" s="1375"/>
      <c r="G36" s="1375"/>
      <c r="H36" s="1375"/>
      <c r="I36" s="1375"/>
      <c r="J36" s="1375"/>
      <c r="K36" s="1375"/>
      <c r="L36" s="1376"/>
      <c r="M36" s="1375"/>
      <c r="N36" s="1375"/>
      <c r="O36" s="1375"/>
      <c r="P36" s="1375"/>
      <c r="Q36" s="1375"/>
      <c r="S36" s="2257" t="s">
        <v>584</v>
      </c>
      <c r="T36" s="2257"/>
      <c r="U36" s="1379"/>
      <c r="V36" s="2271" t="str">
        <f>IF(TITLE_DATE_PR_CHANGE="",IF(TITLE_DATE_PR="","",TITLE_DATE_PR),TITLE_DATE_PR_CHANGE)</f>
        <v>45432</v>
      </c>
      <c r="W36" s="2271"/>
      <c r="X36" s="2271"/>
      <c r="Y36" s="2271"/>
      <c r="Z36" s="2271"/>
      <c r="AA36" s="2271"/>
      <c r="AB36" s="2271"/>
      <c r="AC36" s="333"/>
      <c r="AD36" s="2271" t="str">
        <f>IF(TITLE_DATE_PR_CHANGE="",IF(TITLE_DATE_PR="","",TITLE_DATE_PR),TITLE_DATE_PR_CHANGE)</f>
        <v>45432</v>
      </c>
      <c r="AE36" s="2271"/>
      <c r="AF36" s="2271"/>
      <c r="AG36" s="2271"/>
      <c r="AH36" s="2271"/>
      <c r="AI36" s="2271"/>
      <c r="AJ36" s="2271"/>
      <c r="AK36" s="2271"/>
      <c r="AL36" s="2271"/>
      <c r="AM36" s="2271"/>
      <c r="AN36" s="2271"/>
      <c r="AO36" s="2271"/>
      <c r="AP36" s="2271"/>
      <c r="AQ36" s="2271"/>
      <c r="AR36" s="2271"/>
      <c r="AS36" s="2271"/>
      <c r="AT36" s="2271"/>
      <c r="AU36" s="2271"/>
      <c r="AV36" s="2271"/>
      <c r="AW36" s="2271"/>
      <c r="AX36" s="2271"/>
      <c r="AY36" s="2271"/>
      <c r="AZ36" s="2271"/>
      <c r="BA36" s="333"/>
      <c r="BB36" s="333"/>
      <c r="BC36" s="287"/>
      <c r="BD36" s="375"/>
      <c r="BE36" s="375"/>
      <c r="BF36" s="375"/>
      <c r="BG36" s="375"/>
      <c r="BH36" s="375"/>
      <c r="BI36" s="425">
        <v>0</v>
      </c>
    </row>
    <row s="1860" customFormat="1" customHeight="1" ht="18.75">
      <c r="A37" s="1375"/>
      <c r="B37" s="1375"/>
      <c r="C37" s="1375"/>
      <c r="D37" s="1375"/>
      <c r="E37" s="1375"/>
      <c r="F37" s="1375"/>
      <c r="G37" s="1375"/>
      <c r="H37" s="1375"/>
      <c r="I37" s="1375"/>
      <c r="J37" s="1375"/>
      <c r="K37" s="1375"/>
      <c r="L37" s="1376"/>
      <c r="M37" s="1375"/>
      <c r="N37" s="1375"/>
      <c r="O37" s="1375"/>
      <c r="P37" s="1375"/>
      <c r="Q37" s="1375"/>
      <c r="S37" s="2257" t="s">
        <v>585</v>
      </c>
      <c r="T37" s="2257"/>
      <c r="U37" s="1379"/>
      <c r="V37" s="2258" t="str">
        <f>IF(TITLE_NUMBER_PR_CHANGE="",IF(TITLE_NUMBER_PR="","",TITLE_NUMBER_PR),TITLE_NUMBER_PR_CHANGE)</f>
        <v>29-12/1427</v>
      </c>
      <c r="W37" s="2258"/>
      <c r="X37" s="2258"/>
      <c r="Y37" s="2258"/>
      <c r="Z37" s="2258"/>
      <c r="AA37" s="2258"/>
      <c r="AB37" s="2258"/>
      <c r="AC37" s="333"/>
      <c r="AD37" s="2258" t="str">
        <f>IF(TITLE_NUMBER_PR_CHANGE="",IF(TITLE_NUMBER_PR="","",TITLE_NUMBER_PR),TITLE_NUMBER_PR_CHANGE)</f>
        <v>29-12/1427</v>
      </c>
      <c r="AE37" s="2258"/>
      <c r="AF37" s="2258"/>
      <c r="AG37" s="2258"/>
      <c r="AH37" s="2258"/>
      <c r="AI37" s="2258"/>
      <c r="AJ37" s="2258"/>
      <c r="AK37" s="2258"/>
      <c r="AL37" s="2258"/>
      <c r="AM37" s="2258"/>
      <c r="AN37" s="2258"/>
      <c r="AO37" s="2258"/>
      <c r="AP37" s="2258"/>
      <c r="AQ37" s="2258"/>
      <c r="AR37" s="2258"/>
      <c r="AS37" s="2258"/>
      <c r="AT37" s="2258"/>
      <c r="AU37" s="2258"/>
      <c r="AV37" s="2258"/>
      <c r="AW37" s="2258"/>
      <c r="AX37" s="2258"/>
      <c r="AY37" s="2258"/>
      <c r="AZ37" s="2258"/>
      <c r="BA37" s="333"/>
      <c r="BB37" s="333"/>
      <c r="BC37" s="287"/>
      <c r="BD37" s="375"/>
      <c r="BE37" s="375"/>
      <c r="BF37" s="375"/>
      <c r="BG37" s="375"/>
      <c r="BH37" s="375"/>
      <c r="BI37" s="425">
        <v>0</v>
      </c>
    </row>
    <row s="1860" customFormat="1" customHeight="1" ht="0">
      <c r="A38" s="1375"/>
      <c r="B38" s="1375"/>
      <c r="C38" s="1375"/>
      <c r="D38" s="1375"/>
      <c r="E38" s="1375"/>
      <c r="F38" s="1375"/>
      <c r="G38" s="1375"/>
      <c r="H38" s="1375"/>
      <c r="I38" s="1375"/>
      <c r="J38" s="1375"/>
      <c r="K38" s="1375"/>
      <c r="L38" s="1376"/>
      <c r="M38" s="1375"/>
      <c r="N38" s="1375"/>
      <c r="O38" s="1375"/>
      <c r="P38" s="1375"/>
      <c r="Q38" s="1375"/>
      <c r="S38" s="330"/>
      <c r="T38" s="330"/>
      <c r="U38" s="1495"/>
      <c r="V38" s="333"/>
      <c r="W38" s="333"/>
      <c r="X38" s="333"/>
      <c r="Y38" s="333"/>
      <c r="Z38" s="333"/>
      <c r="AA38" s="333"/>
      <c r="AB38" s="333"/>
      <c r="AC38" s="285" t="s">
        <v>588</v>
      </c>
      <c r="AD38" s="333"/>
      <c r="AE38" s="333"/>
      <c r="AF38" s="333"/>
      <c r="AG38" s="333"/>
      <c r="AH38" s="333"/>
      <c r="AI38" s="333"/>
      <c r="AJ38" s="333"/>
      <c r="AK38" s="333"/>
      <c r="AL38" s="333"/>
      <c r="AM38" s="333"/>
      <c r="AN38" s="333"/>
      <c r="AO38" s="333"/>
      <c r="AP38" s="333"/>
      <c r="AQ38" s="333"/>
      <c r="AR38" s="333"/>
      <c r="AS38" s="333"/>
      <c r="AT38" s="333"/>
      <c r="AU38" s="333"/>
      <c r="AV38" s="333"/>
      <c r="AW38" s="333"/>
      <c r="AX38" s="333"/>
      <c r="AY38" s="333"/>
      <c r="AZ38" s="333"/>
      <c r="BA38" s="285" t="s">
        <v>588</v>
      </c>
      <c r="BD38" s="375"/>
      <c r="BE38" s="375"/>
      <c r="BF38" s="375"/>
      <c r="BG38" s="375"/>
      <c r="BH38" s="375"/>
      <c r="BI38" s="425">
        <v>0</v>
      </c>
    </row>
    <row customHeight="1" ht="14.699999999999998">
      <c r="Q39" s="298"/>
      <c r="R39" s="383"/>
      <c r="S39" s="1282"/>
      <c r="T39" s="370"/>
      <c r="U39" s="1251"/>
      <c r="V39" s="2259"/>
      <c r="W39" s="2259"/>
      <c r="X39" s="2259"/>
      <c r="Y39" s="2259"/>
      <c r="Z39" s="2259"/>
      <c r="AA39" s="2259"/>
      <c r="AB39" s="2259"/>
      <c r="AC39" s="2259"/>
      <c r="AD39" s="2259"/>
      <c r="AE39" s="2259"/>
      <c r="AF39" s="2259"/>
      <c r="AG39" s="2259"/>
      <c r="AH39" s="2259"/>
      <c r="AI39" s="2259"/>
      <c r="AJ39" s="2259"/>
      <c r="AK39" s="2259"/>
      <c r="AL39" s="2259"/>
      <c r="AM39" s="2259"/>
      <c r="AN39" s="2259"/>
      <c r="AO39" s="2259"/>
      <c r="AP39" s="2259"/>
      <c r="AQ39" s="2259"/>
      <c r="AR39" s="2259"/>
      <c r="AS39" s="2259"/>
      <c r="AT39" s="2259"/>
      <c r="AU39" s="2259"/>
      <c r="AV39" s="2259"/>
      <c r="AW39" s="2259"/>
      <c r="AX39" s="2259"/>
      <c r="AY39" s="2259"/>
      <c r="AZ39" s="2259"/>
      <c r="BA39" s="2259"/>
      <c r="BI39" s="1162">
        <v>14</v>
      </c>
    </row>
    <row customHeight="1" ht="14.699999999999998">
      <c r="Q40" s="298"/>
      <c r="R40" s="383"/>
      <c r="S40" s="2134" t="s">
        <v>463</v>
      </c>
      <c r="T40" s="2134"/>
      <c r="U40" s="2134"/>
      <c r="V40" s="2134"/>
      <c r="W40" s="2134"/>
      <c r="X40" s="2134"/>
      <c r="Y40" s="2134"/>
      <c r="Z40" s="2134"/>
      <c r="AA40" s="2134"/>
      <c r="AB40" s="2134"/>
      <c r="AC40" s="2134"/>
      <c r="AD40" s="2134"/>
      <c r="AE40" s="2134"/>
      <c r="AF40" s="2134"/>
      <c r="AG40" s="2134"/>
      <c r="AH40" s="2134"/>
      <c r="AI40" s="2134"/>
      <c r="AJ40" s="2134"/>
      <c r="AK40" s="2134"/>
      <c r="AL40" s="2134"/>
      <c r="AM40" s="2134"/>
      <c r="AN40" s="2134"/>
      <c r="AO40" s="2134"/>
      <c r="AP40" s="2134"/>
      <c r="AQ40" s="2134"/>
      <c r="AR40" s="2134"/>
      <c r="AS40" s="2134"/>
      <c r="AT40" s="2134"/>
      <c r="AU40" s="2134"/>
      <c r="AV40" s="2134"/>
      <c r="AW40" s="2134"/>
      <c r="AX40" s="2134"/>
      <c r="AY40" s="2134"/>
      <c r="AZ40" s="2134"/>
      <c r="BA40" s="2134"/>
      <c r="BB40" s="2134"/>
      <c r="BC40" s="2134" t="s">
        <v>464</v>
      </c>
      <c r="BI40" s="1162">
        <v>14</v>
      </c>
    </row>
    <row customHeight="1" ht="14.699999999999998">
      <c r="Q41" s="298"/>
      <c r="R41" s="383"/>
      <c r="S41" s="2280" t="s">
        <v>88</v>
      </c>
      <c r="T41" s="2216" t="s">
        <v>669</v>
      </c>
      <c r="U41" s="308"/>
      <c r="V41" s="2281" t="s">
        <v>590</v>
      </c>
      <c r="W41" s="2282"/>
      <c r="X41" s="2282"/>
      <c r="Y41" s="2282"/>
      <c r="Z41" s="2282"/>
      <c r="AA41" s="2282"/>
      <c r="AB41" s="2283"/>
      <c r="AC41" s="2284" t="s">
        <v>591</v>
      </c>
      <c r="AD41" s="2335" t="s">
        <v>670</v>
      </c>
      <c r="AE41" s="2298"/>
      <c r="AF41" s="2298"/>
      <c r="AG41" s="2336"/>
      <c r="AH41" s="2335" t="s">
        <v>671</v>
      </c>
      <c r="AI41" s="2298"/>
      <c r="AJ41" s="2298"/>
      <c r="AK41" s="2336"/>
      <c r="AL41" s="2335" t="s">
        <v>672</v>
      </c>
      <c r="AM41" s="2298"/>
      <c r="AN41" s="2298"/>
      <c r="AO41" s="2336"/>
      <c r="AP41" s="2335" t="s">
        <v>673</v>
      </c>
      <c r="AQ41" s="2298"/>
      <c r="AR41" s="2298"/>
      <c r="AS41" s="2336"/>
      <c r="AT41" s="2281" t="s">
        <v>590</v>
      </c>
      <c r="AU41" s="2282"/>
      <c r="AV41" s="2282"/>
      <c r="AW41" s="2282"/>
      <c r="AX41" s="2282"/>
      <c r="AY41" s="2282"/>
      <c r="AZ41" s="2283"/>
      <c r="BA41" s="2284" t="s">
        <v>591</v>
      </c>
      <c r="BB41" s="2287" t="s">
        <v>593</v>
      </c>
      <c r="BC41" s="2134"/>
      <c r="BI41" s="1162">
        <v>14</v>
      </c>
    </row>
    <row customHeight="1" ht="35.699999999999996">
      <c r="Q42" s="298"/>
      <c r="R42" s="383"/>
      <c r="S42" s="2280"/>
      <c r="T42" s="2216"/>
      <c r="U42" s="1038"/>
      <c r="V42" s="2199" t="s">
        <v>674</v>
      </c>
      <c r="W42" s="2200"/>
      <c r="X42" s="2199" t="s">
        <v>675</v>
      </c>
      <c r="Y42" s="2200"/>
      <c r="Z42" s="2301" t="s">
        <v>676</v>
      </c>
      <c r="AA42" s="2320"/>
      <c r="AB42" s="2321"/>
      <c r="AC42" s="2285"/>
      <c r="AD42" s="2337"/>
      <c r="AE42" s="2338"/>
      <c r="AF42" s="2338"/>
      <c r="AG42" s="2339"/>
      <c r="AH42" s="2337"/>
      <c r="AI42" s="2338"/>
      <c r="AJ42" s="2338"/>
      <c r="AK42" s="2339"/>
      <c r="AL42" s="2337"/>
      <c r="AM42" s="2338"/>
      <c r="AN42" s="2338"/>
      <c r="AO42" s="2339"/>
      <c r="AP42" s="2337"/>
      <c r="AQ42" s="2338"/>
      <c r="AR42" s="2338"/>
      <c r="AS42" s="2339"/>
      <c r="AT42" s="2199" t="s">
        <v>674</v>
      </c>
      <c r="AU42" s="2200"/>
      <c r="AV42" s="2199" t="s">
        <v>675</v>
      </c>
      <c r="AW42" s="2200"/>
      <c r="AX42" s="2301" t="s">
        <v>676</v>
      </c>
      <c r="AY42" s="2320"/>
      <c r="AZ42" s="2321"/>
      <c r="BA42" s="2285"/>
      <c r="BB42" s="2288"/>
      <c r="BC42" s="2134"/>
      <c r="BI42" s="1162">
        <v>34</v>
      </c>
    </row>
    <row customHeight="1" ht="14.699999999999998">
      <c r="Q43" s="298"/>
      <c r="R43" s="383"/>
      <c r="S43" s="2280"/>
      <c r="T43" s="2216"/>
      <c r="U43" s="1038"/>
      <c r="V43" s="2207"/>
      <c r="W43" s="2208"/>
      <c r="X43" s="2207"/>
      <c r="Y43" s="2208"/>
      <c r="Z43" s="2302"/>
      <c r="AA43" s="2322"/>
      <c r="AB43" s="2323"/>
      <c r="AC43" s="2285"/>
      <c r="AD43" s="2337"/>
      <c r="AE43" s="2338"/>
      <c r="AF43" s="2338"/>
      <c r="AG43" s="2339"/>
      <c r="AH43" s="2337"/>
      <c r="AI43" s="2338"/>
      <c r="AJ43" s="2338"/>
      <c r="AK43" s="2339"/>
      <c r="AL43" s="2337"/>
      <c r="AM43" s="2338"/>
      <c r="AN43" s="2338"/>
      <c r="AO43" s="2339"/>
      <c r="AP43" s="2337"/>
      <c r="AQ43" s="2338"/>
      <c r="AR43" s="2338"/>
      <c r="AS43" s="2339"/>
      <c r="AT43" s="2207"/>
      <c r="AU43" s="2208"/>
      <c r="AV43" s="2207"/>
      <c r="AW43" s="2208"/>
      <c r="AX43" s="2302"/>
      <c r="AY43" s="2322"/>
      <c r="AZ43" s="2323"/>
      <c r="BA43" s="2285"/>
      <c r="BB43" s="2288"/>
      <c r="BC43" s="2134"/>
      <c r="BI43" s="1162">
        <v>14</v>
      </c>
    </row>
    <row customHeight="1" ht="14.699999999999998">
      <c r="A44" s="1377"/>
      <c r="B44" s="1377" t="s">
        <v>227</v>
      </c>
      <c r="C44" s="1377" t="s">
        <v>228</v>
      </c>
      <c r="D44" s="1377" t="s">
        <v>229</v>
      </c>
      <c r="E44" s="1371" t="s">
        <v>598</v>
      </c>
      <c r="F44" s="1371" t="s">
        <v>599</v>
      </c>
      <c r="G44" s="1371" t="s">
        <v>600</v>
      </c>
      <c r="H44" s="1371" t="s">
        <v>601</v>
      </c>
      <c r="I44" s="1371" t="s">
        <v>602</v>
      </c>
      <c r="J44" s="1371" t="s">
        <v>603</v>
      </c>
      <c r="K44" s="1371" t="s">
        <v>604</v>
      </c>
      <c r="L44" s="1371" t="s">
        <v>579</v>
      </c>
      <c r="Q44" s="298"/>
      <c r="R44" s="383"/>
      <c r="S44" s="2280"/>
      <c r="T44" s="2216"/>
      <c r="U44" s="309"/>
      <c r="V44" s="1486" t="s">
        <v>638</v>
      </c>
      <c r="W44" s="1486" t="s">
        <v>639</v>
      </c>
      <c r="X44" s="1486" t="s">
        <v>638</v>
      </c>
      <c r="Y44" s="1486" t="s">
        <v>639</v>
      </c>
      <c r="Z44" s="1496" t="s">
        <v>607</v>
      </c>
      <c r="AA44" s="2277" t="s">
        <v>608</v>
      </c>
      <c r="AB44" s="2278"/>
      <c r="AC44" s="2286"/>
      <c r="AD44" s="2340"/>
      <c r="AE44" s="2341"/>
      <c r="AF44" s="2341"/>
      <c r="AG44" s="2342"/>
      <c r="AH44" s="2340"/>
      <c r="AI44" s="2341"/>
      <c r="AJ44" s="2341"/>
      <c r="AK44" s="2342"/>
      <c r="AL44" s="2340"/>
      <c r="AM44" s="2341"/>
      <c r="AN44" s="2341"/>
      <c r="AO44" s="2342"/>
      <c r="AP44" s="2340"/>
      <c r="AQ44" s="2341"/>
      <c r="AR44" s="2341"/>
      <c r="AS44" s="2342"/>
      <c r="AT44" s="1486" t="s">
        <v>638</v>
      </c>
      <c r="AU44" s="1486" t="s">
        <v>639</v>
      </c>
      <c r="AV44" s="1486" t="s">
        <v>638</v>
      </c>
      <c r="AW44" s="1486" t="s">
        <v>639</v>
      </c>
      <c r="AX44" s="1496" t="s">
        <v>607</v>
      </c>
      <c r="AY44" s="2277" t="s">
        <v>608</v>
      </c>
      <c r="AZ44" s="2278"/>
      <c r="BA44" s="2286"/>
      <c r="BB44" s="2289"/>
      <c r="BC44" s="2134"/>
      <c r="BI44" s="1162">
        <v>14</v>
      </c>
    </row>
    <row s="1648" customFormat="1" customHeight="1" ht="0">
      <c r="A45" s="1377"/>
      <c r="B45" s="1377"/>
      <c r="C45" s="1377"/>
      <c r="D45" s="1377"/>
      <c r="E45" s="1377"/>
      <c r="F45" s="1377"/>
      <c r="G45" s="1377"/>
      <c r="H45" s="1377"/>
      <c r="I45" s="1377"/>
      <c r="J45" s="1377"/>
      <c r="K45" s="1377"/>
      <c r="L45" s="1371"/>
      <c r="M45" s="1369"/>
      <c r="N45" s="1369"/>
      <c r="O45" s="1369"/>
      <c r="P45" s="517"/>
      <c r="Q45" s="1261"/>
      <c r="R45" s="1261">
        <v>1</v>
      </c>
      <c r="S45" s="1284" t="s">
        <v>108</v>
      </c>
      <c r="T45" s="1262" t="s">
        <v>99</v>
      </c>
      <c r="U45" s="1252" t="str">
        <f>OFFSET(U45,0,-1)</f>
        <v>2</v>
      </c>
      <c r="V45" s="1489">
        <f>OFFSET(V45,0,-1)+1</f>
        <v>3</v>
      </c>
      <c r="W45" s="1489">
        <f>OFFSET(W45,0,-1)+1</f>
        <v>4</v>
      </c>
      <c r="X45" s="1489">
        <f>OFFSET(X45,0,-1)+1</f>
        <v>5</v>
      </c>
      <c r="Y45" s="1489">
        <f>OFFSET(Y45,0,-1)+1</f>
        <v>6</v>
      </c>
      <c r="Z45" s="1489">
        <f>OFFSET(Z45,0,-1)+1</f>
        <v>7</v>
      </c>
      <c r="AA45" s="2279">
        <f>OFFSET(AA45,0,-1)+1</f>
        <v>8</v>
      </c>
      <c r="AB45" s="2279"/>
      <c r="AC45" s="1489">
        <f>OFFSET(AC45,0,-2)+1</f>
        <v>9</v>
      </c>
      <c r="AD45" s="1489">
        <f>OFFSET(AD45,0,-1)+1</f>
        <v>10</v>
      </c>
      <c r="AE45" s="1489"/>
      <c r="AF45" s="1489"/>
      <c r="AG45" s="1489"/>
      <c r="AH45" s="1489"/>
      <c r="AI45" s="1489"/>
      <c r="AJ45" s="1489"/>
      <c r="AK45" s="1489"/>
      <c r="AL45" s="1489"/>
      <c r="AM45" s="1489"/>
      <c r="AN45" s="1489"/>
      <c r="AO45" s="1489"/>
      <c r="AP45" s="1489"/>
      <c r="AQ45" s="1489"/>
      <c r="AR45" s="1489"/>
      <c r="AS45" s="1489"/>
      <c r="AT45" s="1489"/>
      <c r="AU45" s="1489"/>
      <c r="AV45" s="1489"/>
      <c r="AW45" s="1489">
        <f>OFFSET(AW45,0,-1)+1</f>
        <v>1</v>
      </c>
      <c r="AX45" s="1489">
        <f>OFFSET(AX45,0,-1)+1</f>
        <v>2</v>
      </c>
      <c r="AY45" s="2279">
        <f>OFFSET(AY45,0,-1)+1</f>
        <v>3</v>
      </c>
      <c r="AZ45" s="2279"/>
      <c r="BA45" s="1489">
        <f>OFFSET(BA45,0,-2)+1</f>
        <v>4</v>
      </c>
      <c r="BB45" s="1252">
        <f>OFFSET(BB45,0,-1)</f>
        <v>4</v>
      </c>
      <c r="BC45" s="1489">
        <f>OFFSET(BC45,0,-1)+1</f>
        <v>5</v>
      </c>
      <c r="BD45" s="518"/>
      <c r="BE45" s="518"/>
      <c r="BF45" s="518"/>
      <c r="BG45" s="518"/>
      <c r="BH45" s="518"/>
      <c r="BI45" s="503">
        <v>0</v>
      </c>
    </row>
    <row customHeight="1" ht="22.049999999999997">
      <c r="A46" s="1370" t="s">
        <v>424</v>
      </c>
      <c r="B46" s="1370"/>
      <c r="C46" s="1370"/>
      <c r="D46" s="1370"/>
      <c r="E46" s="2265">
        <v>1</v>
      </c>
      <c r="F46" s="1370"/>
      <c r="G46" s="1370"/>
      <c r="H46" s="1370"/>
      <c r="I46" s="1370"/>
      <c r="J46" s="1370"/>
      <c r="K46" s="1370"/>
      <c r="L46" s="1371"/>
      <c r="M46" s="1372"/>
      <c r="N46" s="1372"/>
      <c r="O46" s="1372"/>
      <c r="P46" s="1416"/>
      <c r="Q46" s="880"/>
      <c r="R46" s="362"/>
      <c r="S46" s="1500">
        <f>INDEX(PT_DIFFERENTIATION_NUM_NTAR,MATCH(A46,PT_DIFFERENTIATION_NTAR_ID,0))</f>
        <v>0</v>
      </c>
      <c r="T46" s="305" t="s">
        <v>215</v>
      </c>
      <c r="U46" s="307"/>
      <c r="V46" s="2250"/>
      <c r="W46" s="2250"/>
      <c r="X46" s="2250"/>
      <c r="Y46" s="2250"/>
      <c r="Z46" s="2250"/>
      <c r="AA46" s="2250"/>
      <c r="AB46" s="2250"/>
      <c r="AC46" s="2251"/>
      <c r="AD46" s="2249" t="str">
        <f>INDEX(PT_DIFFERENTIATION_NTAR,MATCH(A46,PT_DIFFERENTIATION_NTAR_ID,0))</f>
        <v/>
      </c>
      <c r="AE46" s="2250"/>
      <c r="AF46" s="2250"/>
      <c r="AG46" s="2250"/>
      <c r="AH46" s="2250"/>
      <c r="AI46" s="2250"/>
      <c r="AJ46" s="2250"/>
      <c r="AK46" s="2250"/>
      <c r="AL46" s="2250"/>
      <c r="AM46" s="2250"/>
      <c r="AN46" s="2250"/>
      <c r="AO46" s="2250"/>
      <c r="AP46" s="2250"/>
      <c r="AQ46" s="2250"/>
      <c r="AR46" s="2250"/>
      <c r="AS46" s="2250"/>
      <c r="AT46" s="2250"/>
      <c r="AU46" s="2250"/>
      <c r="AV46" s="2250"/>
      <c r="AW46" s="2250"/>
      <c r="AX46" s="2250"/>
      <c r="AY46" s="2250"/>
      <c r="AZ46" s="2250"/>
      <c r="BA46" s="2250"/>
      <c r="BB46" s="2251"/>
      <c r="BC46" s="126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7"/>
      <c r="BF46" s="507" t="str">
        <f>IF(T46="","",T46)</f>
        <v>Наименование тарифа</v>
      </c>
      <c r="BG46" s="507"/>
      <c r="BH46" s="507"/>
      <c r="BI46" s="1162">
        <v>21</v>
      </c>
    </row>
    <row customHeight="1" ht="22.049999999999997">
      <c r="A47" s="1370" t="s">
        <v>424</v>
      </c>
      <c r="B47" s="1370" t="s">
        <v>425</v>
      </c>
      <c r="C47" s="1370"/>
      <c r="D47" s="1370"/>
      <c r="E47" s="2266"/>
      <c r="F47" s="2265">
        <v>1</v>
      </c>
      <c r="G47" s="1370"/>
      <c r="H47" s="1370"/>
      <c r="I47" s="1370"/>
      <c r="J47" s="1370"/>
      <c r="K47" s="1370"/>
      <c r="L47" s="1371"/>
      <c r="M47" s="1372"/>
      <c r="N47" s="1372"/>
      <c r="O47" s="1372"/>
      <c r="P47" s="1417"/>
      <c r="Q47" s="1418"/>
      <c r="R47" s="360"/>
      <c r="S47" s="1500" t="str">
        <f>INDEX(PT_DIFFERENTIATION_NUM_TER,MATCH(B47,PT_DIFFERENTIATION_TER_ID,0))</f>
        <v>.</v>
      </c>
      <c r="T47" s="315" t="s">
        <v>560</v>
      </c>
      <c r="U47" s="307"/>
      <c r="V47" s="2250"/>
      <c r="W47" s="2250"/>
      <c r="X47" s="2250"/>
      <c r="Y47" s="2250"/>
      <c r="Z47" s="2250"/>
      <c r="AA47" s="2250"/>
      <c r="AB47" s="2250"/>
      <c r="AC47" s="2251"/>
      <c r="AD47" s="2249" t="str">
        <f>INDEX(PT_DIFFERENTIATION_TER,MATCH(B47,PT_DIFFERENTIATION_TER_ID,0))</f>
        <v/>
      </c>
      <c r="AE47" s="2250"/>
      <c r="AF47" s="2250"/>
      <c r="AG47" s="2250"/>
      <c r="AH47" s="2250"/>
      <c r="AI47" s="2250"/>
      <c r="AJ47" s="2250"/>
      <c r="AK47" s="2250"/>
      <c r="AL47" s="2250"/>
      <c r="AM47" s="2250"/>
      <c r="AN47" s="2250"/>
      <c r="AO47" s="2250"/>
      <c r="AP47" s="2250"/>
      <c r="AQ47" s="2250"/>
      <c r="AR47" s="2250"/>
      <c r="AS47" s="2250"/>
      <c r="AT47" s="2250"/>
      <c r="AU47" s="2250"/>
      <c r="AV47" s="2250"/>
      <c r="AW47" s="2250"/>
      <c r="AX47" s="2250"/>
      <c r="AY47" s="2250"/>
      <c r="AZ47" s="2250"/>
      <c r="BA47" s="2250"/>
      <c r="BB47" s="2251"/>
      <c r="BC47" s="1265" t="s">
        <v>561</v>
      </c>
      <c r="BE47" s="507"/>
      <c r="BF47" s="507" t="str">
        <f>IF(T47="","",T47)</f>
        <v>Территория действия тарифа</v>
      </c>
      <c r="BG47" s="507"/>
      <c r="BH47" s="507"/>
      <c r="BI47" s="1162">
        <v>21</v>
      </c>
    </row>
    <row customHeight="1" ht="35.699999999999996">
      <c r="A48" s="1370" t="s">
        <v>424</v>
      </c>
      <c r="B48" s="1370" t="s">
        <v>425</v>
      </c>
      <c r="C48" s="1370" t="s">
        <v>426</v>
      </c>
      <c r="D48" s="1370"/>
      <c r="E48" s="2266"/>
      <c r="F48" s="2266"/>
      <c r="G48" s="2265">
        <v>1</v>
      </c>
      <c r="H48" s="1370"/>
      <c r="I48" s="1370"/>
      <c r="J48" s="1370"/>
      <c r="K48" s="1370"/>
      <c r="L48" s="1371"/>
      <c r="M48" s="1372"/>
      <c r="N48" s="1372"/>
      <c r="O48" s="1372"/>
      <c r="P48" s="1419"/>
      <c r="Q48" s="1418"/>
      <c r="R48" s="360"/>
      <c r="S48" s="1500" t="str">
        <f>INDEX(PT_DIFFERENTIATION_NUM_CS,MATCH(C48,PT_DIFFERENTIATION_CS_ID,0))</f>
        <v>..</v>
      </c>
      <c r="T48" s="316" t="s">
        <v>692</v>
      </c>
      <c r="U48" s="307"/>
      <c r="V48" s="2250"/>
      <c r="W48" s="2250"/>
      <c r="X48" s="2250"/>
      <c r="Y48" s="2250"/>
      <c r="Z48" s="2250"/>
      <c r="AA48" s="2250"/>
      <c r="AB48" s="2250"/>
      <c r="AC48" s="2251"/>
      <c r="AD48" s="2249" t="str">
        <f>INDEX(PT_DIFFERENTIATION_CS,MATCH(C48,PT_DIFFERENTIATION_CS_ID,0))</f>
        <v/>
      </c>
      <c r="AE48" s="2250"/>
      <c r="AF48" s="2250"/>
      <c r="AG48" s="2250"/>
      <c r="AH48" s="2250"/>
      <c r="AI48" s="2250"/>
      <c r="AJ48" s="2250"/>
      <c r="AK48" s="2250"/>
      <c r="AL48" s="2250"/>
      <c r="AM48" s="2250"/>
      <c r="AN48" s="2250"/>
      <c r="AO48" s="2250"/>
      <c r="AP48" s="2250"/>
      <c r="AQ48" s="2250"/>
      <c r="AR48" s="2250"/>
      <c r="AS48" s="2250"/>
      <c r="AT48" s="2250"/>
      <c r="AU48" s="2250"/>
      <c r="AV48" s="2250"/>
      <c r="AW48" s="2250"/>
      <c r="AX48" s="2250"/>
      <c r="AY48" s="2250"/>
      <c r="AZ48" s="2250"/>
      <c r="BA48" s="2250"/>
      <c r="BB48" s="2251"/>
      <c r="BC48" s="1265" t="s">
        <v>693</v>
      </c>
      <c r="BE48" s="507"/>
      <c r="BF48" s="507" t="str">
        <f>IF(T48="","",T48)</f>
        <v>Наименование централизованной системы горячего водоснабжения</v>
      </c>
      <c r="BG48" s="507"/>
      <c r="BH48" s="507"/>
      <c r="BI48" s="1162">
        <v>34</v>
      </c>
    </row>
    <row s="1649" customFormat="1" customHeight="1" ht="0">
      <c r="A49" s="1350" t="s">
        <v>424</v>
      </c>
      <c r="B49" s="1350" t="s">
        <v>425</v>
      </c>
      <c r="C49" s="1350" t="s">
        <v>426</v>
      </c>
      <c r="D49" s="1350" t="s">
        <v>706</v>
      </c>
      <c r="E49" s="2266"/>
      <c r="F49" s="2266"/>
      <c r="G49" s="2266"/>
      <c r="H49" s="2265">
        <v>1</v>
      </c>
      <c r="I49" s="1350"/>
      <c r="J49" s="1350"/>
      <c r="K49" s="1350"/>
      <c r="L49" s="1353"/>
      <c r="M49" s="1322"/>
      <c r="N49" s="1322"/>
      <c r="O49" s="1322"/>
      <c r="P49" s="1504"/>
      <c r="Q49" s="1505"/>
      <c r="R49" s="364"/>
      <c r="S49" s="1049"/>
      <c r="T49" s="1506"/>
      <c r="U49" s="1391"/>
      <c r="V49" s="2304"/>
      <c r="W49" s="2304"/>
      <c r="X49" s="2304"/>
      <c r="Y49" s="2304"/>
      <c r="Z49" s="2304"/>
      <c r="AA49" s="2304"/>
      <c r="AB49" s="2304"/>
      <c r="AC49" s="2305"/>
      <c r="AD49" s="2303"/>
      <c r="AE49" s="2304"/>
      <c r="AF49" s="2304"/>
      <c r="AG49" s="2304"/>
      <c r="AH49" s="2304"/>
      <c r="AI49" s="2304"/>
      <c r="AJ49" s="2304"/>
      <c r="AK49" s="2304"/>
      <c r="AL49" s="2304"/>
      <c r="AM49" s="2304"/>
      <c r="AN49" s="2304"/>
      <c r="AO49" s="2304"/>
      <c r="AP49" s="2304"/>
      <c r="AQ49" s="2304"/>
      <c r="AR49" s="2304"/>
      <c r="AS49" s="2304"/>
      <c r="AT49" s="2304"/>
      <c r="AU49" s="2304"/>
      <c r="AV49" s="2304"/>
      <c r="AW49" s="2304"/>
      <c r="AX49" s="2304"/>
      <c r="AY49" s="2304"/>
      <c r="AZ49" s="2304"/>
      <c r="BA49" s="2304"/>
      <c r="BB49" s="2305"/>
      <c r="BC49" s="1392" t="s">
        <v>565</v>
      </c>
      <c r="BE49" s="507"/>
      <c r="BF49" s="507" t="str">
        <f>IF(T49="","",T49)</f>
        <v/>
      </c>
      <c r="BG49" s="507"/>
      <c r="BH49" s="507"/>
      <c r="BI49" s="518">
        <v>0</v>
      </c>
    </row>
    <row s="1649" customFormat="1" customHeight="1" ht="0">
      <c r="A50" s="1350" t="s">
        <v>424</v>
      </c>
      <c r="B50" s="1350" t="s">
        <v>425</v>
      </c>
      <c r="C50" s="1350" t="s">
        <v>426</v>
      </c>
      <c r="D50" s="1350" t="s">
        <v>706</v>
      </c>
      <c r="E50" s="2266"/>
      <c r="F50" s="2266"/>
      <c r="G50" s="2266"/>
      <c r="H50" s="2266"/>
      <c r="I50" s="2263" t="str">
        <f>S49&amp;".1"</f>
        <v>.1</v>
      </c>
      <c r="J50" s="1350"/>
      <c r="K50" s="1350"/>
      <c r="L50" s="1353" t="s">
        <v>566</v>
      </c>
      <c r="M50" s="517"/>
      <c r="N50" s="517"/>
      <c r="O50" s="517"/>
      <c r="P50" s="2264">
        <v>1</v>
      </c>
      <c r="Q50" s="1488"/>
      <c r="R50" s="363"/>
      <c r="S50" s="1049"/>
      <c r="T50" s="1390"/>
      <c r="U50" s="1391"/>
      <c r="V50" s="2304"/>
      <c r="W50" s="2304"/>
      <c r="X50" s="2304"/>
      <c r="Y50" s="2304"/>
      <c r="Z50" s="2304"/>
      <c r="AA50" s="2304"/>
      <c r="AB50" s="2304"/>
      <c r="AC50" s="2305"/>
      <c r="AD50" s="2303"/>
      <c r="AE50" s="2304"/>
      <c r="AF50" s="2304"/>
      <c r="AG50" s="2304"/>
      <c r="AH50" s="2304"/>
      <c r="AI50" s="2304"/>
      <c r="AJ50" s="2304"/>
      <c r="AK50" s="2304"/>
      <c r="AL50" s="2304"/>
      <c r="AM50" s="2304"/>
      <c r="AN50" s="2304"/>
      <c r="AO50" s="2304"/>
      <c r="AP50" s="2304"/>
      <c r="AQ50" s="2304"/>
      <c r="AR50" s="2304"/>
      <c r="AS50" s="2304"/>
      <c r="AT50" s="2304"/>
      <c r="AU50" s="2304"/>
      <c r="AV50" s="2304"/>
      <c r="AW50" s="2304"/>
      <c r="AX50" s="2304"/>
      <c r="AY50" s="2304"/>
      <c r="AZ50" s="2304"/>
      <c r="BA50" s="2304"/>
      <c r="BB50" s="2305"/>
      <c r="BC50" s="1392"/>
      <c r="BE50" s="507"/>
      <c r="BF50" s="507" t="str">
        <f>IF(T50="","",T50)</f>
        <v/>
      </c>
      <c r="BG50" s="507"/>
      <c r="BH50" s="507"/>
      <c r="BI50" s="518">
        <v>0</v>
      </c>
    </row>
    <row s="1649" customFormat="1" customHeight="1" ht="0">
      <c r="A51" s="1350" t="s">
        <v>424</v>
      </c>
      <c r="B51" s="1350" t="s">
        <v>425</v>
      </c>
      <c r="C51" s="1350" t="s">
        <v>426</v>
      </c>
      <c r="D51" s="1350" t="s">
        <v>706</v>
      </c>
      <c r="E51" s="2266"/>
      <c r="F51" s="2266"/>
      <c r="G51" s="2266"/>
      <c r="H51" s="2266"/>
      <c r="I51" s="2293"/>
      <c r="J51" s="2263" t="str">
        <f>S49&amp;".1"</f>
        <v>.1</v>
      </c>
      <c r="K51" s="1350"/>
      <c r="L51" s="1353"/>
      <c r="M51" s="517"/>
      <c r="N51" s="517"/>
      <c r="O51" s="517"/>
      <c r="P51" s="2264"/>
      <c r="Q51" s="2264">
        <v>1</v>
      </c>
      <c r="R51" s="364"/>
      <c r="S51" s="1049"/>
      <c r="T51" s="1406"/>
      <c r="U51" s="1391"/>
      <c r="V51" s="2304"/>
      <c r="W51" s="2304"/>
      <c r="X51" s="2304"/>
      <c r="Y51" s="2304"/>
      <c r="Z51" s="2304"/>
      <c r="AA51" s="2304"/>
      <c r="AB51" s="2304"/>
      <c r="AC51" s="2305"/>
      <c r="AD51" s="2303"/>
      <c r="AE51" s="2304"/>
      <c r="AF51" s="2304"/>
      <c r="AG51" s="2304"/>
      <c r="AH51" s="2304"/>
      <c r="AI51" s="2304"/>
      <c r="AJ51" s="2304"/>
      <c r="AK51" s="2304"/>
      <c r="AL51" s="2304"/>
      <c r="AM51" s="2304"/>
      <c r="AN51" s="2371"/>
      <c r="AO51" s="2371"/>
      <c r="AP51" s="2304"/>
      <c r="AQ51" s="2304"/>
      <c r="AR51" s="2304"/>
      <c r="AS51" s="2304"/>
      <c r="AT51" s="2304"/>
      <c r="AU51" s="2304"/>
      <c r="AV51" s="2304"/>
      <c r="AW51" s="2304"/>
      <c r="AX51" s="2304"/>
      <c r="AY51" s="2304"/>
      <c r="AZ51" s="2304"/>
      <c r="BA51" s="2304"/>
      <c r="BB51" s="2305"/>
      <c r="BC51" s="1392"/>
      <c r="BE51" s="507"/>
      <c r="BF51" s="507" t="str">
        <f>IF(T51="","",T51)</f>
        <v/>
      </c>
      <c r="BG51" s="507"/>
      <c r="BH51" s="507"/>
      <c r="BI51" s="518">
        <v>0</v>
      </c>
    </row>
    <row customHeight="1" ht="11.549999999999999">
      <c r="A52" s="1370" t="s">
        <v>424</v>
      </c>
      <c r="B52" s="1370" t="s">
        <v>425</v>
      </c>
      <c r="C52" s="1370" t="s">
        <v>426</v>
      </c>
      <c r="D52" s="1370" t="s">
        <v>706</v>
      </c>
      <c r="E52" s="2266"/>
      <c r="F52" s="2266"/>
      <c r="G52" s="2266"/>
      <c r="H52" s="2266"/>
      <c r="I52" s="2293"/>
      <c r="J52" s="2293"/>
      <c r="K52" s="2263" t="str">
        <f>S48&amp;".1"</f>
        <v>...1</v>
      </c>
      <c r="L52" s="1371"/>
      <c r="P52" s="2264"/>
      <c r="Q52" s="2264"/>
      <c r="R52" s="364">
        <v>1</v>
      </c>
      <c r="S52" s="2348" t="str">
        <f>$K52</f>
        <v>...1</v>
      </c>
      <c r="T52" s="2367"/>
      <c r="U52" s="307"/>
      <c r="V52" s="758"/>
      <c r="W52" s="1264"/>
      <c r="X52" s="758"/>
      <c r="Y52" s="1264"/>
      <c r="Z52" s="1741"/>
      <c r="AA52" s="1476" t="s">
        <v>66</v>
      </c>
      <c r="AB52" s="1741"/>
      <c r="AC52" s="1476" t="s">
        <v>66</v>
      </c>
      <c r="AD52" s="2192" t="s">
        <v>66</v>
      </c>
      <c r="AE52" s="2333"/>
      <c r="AF52" s="2212">
        <v>1</v>
      </c>
      <c r="AG52" s="2370"/>
      <c r="AH52" s="2114" t="s">
        <v>66</v>
      </c>
      <c r="AI52" s="2333"/>
      <c r="AJ52" s="2212">
        <v>1</v>
      </c>
      <c r="AK52" s="2334" t="s">
        <v>28</v>
      </c>
      <c r="AL52" s="2114" t="s">
        <v>66</v>
      </c>
      <c r="AM52" s="2199"/>
      <c r="AN52" s="2212">
        <v>1</v>
      </c>
      <c r="AO52" s="2364"/>
      <c r="AP52" s="2365" t="s">
        <v>66</v>
      </c>
      <c r="AQ52" s="318"/>
      <c r="AR52" s="1493">
        <v>1</v>
      </c>
      <c r="AS52" s="1499" t="s">
        <v>28</v>
      </c>
      <c r="AT52" s="758"/>
      <c r="AU52" s="1264"/>
      <c r="AV52" s="758"/>
      <c r="AW52" s="1264"/>
      <c r="AX52" s="1741"/>
      <c r="AY52" s="1476" t="s">
        <v>66</v>
      </c>
      <c r="AZ52" s="1741"/>
      <c r="BA52" s="1476" t="s">
        <v>66</v>
      </c>
      <c r="BB52" s="1355"/>
      <c r="BC52" s="2260" t="s">
        <v>663</v>
      </c>
      <c r="BE52" s="507"/>
      <c r="BF52" s="507" t="str">
        <f>IF(T52="","",T52)</f>
        <v/>
      </c>
      <c r="BG52" s="507"/>
      <c r="BH52" s="507"/>
      <c r="BI52" s="1162">
        <v>11</v>
      </c>
    </row>
    <row customHeight="1" ht="11.549999999999999">
      <c r="A53" s="1370"/>
      <c r="B53" s="1370"/>
      <c r="C53" s="1370"/>
      <c r="D53" s="1370"/>
      <c r="E53" s="2266"/>
      <c r="F53" s="2266"/>
      <c r="G53" s="2266"/>
      <c r="H53" s="2266"/>
      <c r="I53" s="2293"/>
      <c r="J53" s="2293"/>
      <c r="K53" s="2263"/>
      <c r="L53" s="1371"/>
      <c r="P53" s="2264"/>
      <c r="Q53" s="2264"/>
      <c r="R53" s="364"/>
      <c r="S53" s="2349"/>
      <c r="T53" s="2368"/>
      <c r="U53" s="307"/>
      <c r="V53" s="1400"/>
      <c r="W53" s="1503"/>
      <c r="X53" s="1400"/>
      <c r="Y53" s="1503"/>
      <c r="Z53" s="1400"/>
      <c r="AA53" s="1400"/>
      <c r="AB53" s="1400"/>
      <c r="AC53" s="1400"/>
      <c r="AD53" s="2193"/>
      <c r="AE53" s="2333"/>
      <c r="AF53" s="2212"/>
      <c r="AG53" s="2370"/>
      <c r="AH53" s="2114"/>
      <c r="AI53" s="2333"/>
      <c r="AJ53" s="2212"/>
      <c r="AK53" s="2334"/>
      <c r="AL53" s="2114"/>
      <c r="AM53" s="2207"/>
      <c r="AN53" s="2212"/>
      <c r="AO53" s="2364"/>
      <c r="AP53" s="2366"/>
      <c r="AQ53" s="323"/>
      <c r="AR53" s="423"/>
      <c r="AS53" s="423" t="s">
        <v>664</v>
      </c>
      <c r="AT53" s="1400"/>
      <c r="AU53" s="1503"/>
      <c r="AV53" s="1400"/>
      <c r="AW53" s="1503"/>
      <c r="AX53" s="1400"/>
      <c r="AY53" s="1400"/>
      <c r="AZ53" s="1400"/>
      <c r="BA53" s="1400"/>
      <c r="BB53" s="1404"/>
      <c r="BC53" s="2261"/>
      <c r="BE53" s="507"/>
      <c r="BF53" s="507"/>
      <c r="BG53" s="507"/>
      <c r="BH53" s="507"/>
      <c r="BI53" s="1162">
        <v>11</v>
      </c>
    </row>
    <row customHeight="1" ht="11.549999999999999">
      <c r="A54" s="1370" t="s">
        <v>424</v>
      </c>
      <c r="B54" s="1370"/>
      <c r="C54" s="1370"/>
      <c r="D54" s="1370"/>
      <c r="E54" s="2266"/>
      <c r="F54" s="2266"/>
      <c r="G54" s="2266"/>
      <c r="H54" s="2266"/>
      <c r="I54" s="2293"/>
      <c r="J54" s="2293"/>
      <c r="K54" s="2263"/>
      <c r="L54" s="1371"/>
      <c r="P54" s="2264"/>
      <c r="Q54" s="2264"/>
      <c r="R54" s="364"/>
      <c r="S54" s="2349"/>
      <c r="T54" s="2368"/>
      <c r="U54" s="307"/>
      <c r="V54" s="1400"/>
      <c r="W54" s="1503"/>
      <c r="X54" s="1400"/>
      <c r="Y54" s="1503"/>
      <c r="Z54" s="1400"/>
      <c r="AA54" s="1400"/>
      <c r="AB54" s="1400"/>
      <c r="AC54" s="1400"/>
      <c r="AD54" s="2193"/>
      <c r="AE54" s="2333"/>
      <c r="AF54" s="2212"/>
      <c r="AG54" s="2370"/>
      <c r="AH54" s="2114"/>
      <c r="AI54" s="2333"/>
      <c r="AJ54" s="2212"/>
      <c r="AK54" s="2334"/>
      <c r="AL54" s="2114"/>
      <c r="AM54" s="323"/>
      <c r="AN54" s="1507"/>
      <c r="AO54" s="1507" t="s">
        <v>665</v>
      </c>
      <c r="AP54" s="423"/>
      <c r="AQ54" s="423"/>
      <c r="AR54" s="423"/>
      <c r="AS54" s="1400"/>
      <c r="AT54" s="1400"/>
      <c r="AU54" s="1503"/>
      <c r="AV54" s="1400"/>
      <c r="AW54" s="1503"/>
      <c r="AX54" s="1400"/>
      <c r="AY54" s="1400"/>
      <c r="AZ54" s="1400"/>
      <c r="BA54" s="1400"/>
      <c r="BB54" s="1404"/>
      <c r="BC54" s="2261"/>
      <c r="BE54" s="507"/>
      <c r="BF54" s="507"/>
      <c r="BG54" s="507"/>
      <c r="BH54" s="507"/>
      <c r="BI54" s="1162">
        <v>11</v>
      </c>
    </row>
    <row customHeight="1" ht="11.549999999999999">
      <c r="A55" s="1370" t="s">
        <v>424</v>
      </c>
      <c r="B55" s="1370"/>
      <c r="C55" s="1370"/>
      <c r="D55" s="1370"/>
      <c r="E55" s="2266"/>
      <c r="F55" s="2266"/>
      <c r="G55" s="2266"/>
      <c r="H55" s="2266"/>
      <c r="I55" s="2293"/>
      <c r="J55" s="2293"/>
      <c r="K55" s="2263"/>
      <c r="L55" s="1371"/>
      <c r="P55" s="2264"/>
      <c r="Q55" s="2264"/>
      <c r="R55" s="364"/>
      <c r="S55" s="2349"/>
      <c r="T55" s="2368"/>
      <c r="U55" s="307"/>
      <c r="V55" s="1400"/>
      <c r="W55" s="1503"/>
      <c r="X55" s="1400"/>
      <c r="Y55" s="1503"/>
      <c r="Z55" s="1400"/>
      <c r="AA55" s="1400"/>
      <c r="AB55" s="1400"/>
      <c r="AC55" s="1400"/>
      <c r="AD55" s="2193"/>
      <c r="AE55" s="2333"/>
      <c r="AF55" s="2212"/>
      <c r="AG55" s="2370"/>
      <c r="AH55" s="2114"/>
      <c r="AI55" s="301"/>
      <c r="AJ55" s="422"/>
      <c r="AK55" s="320" t="s">
        <v>666</v>
      </c>
      <c r="AL55" s="1400"/>
      <c r="AM55" s="1400"/>
      <c r="AN55" s="1400"/>
      <c r="AO55" s="1400"/>
      <c r="AP55" s="1400"/>
      <c r="AQ55" s="1400"/>
      <c r="AR55" s="1400"/>
      <c r="AS55" s="1400"/>
      <c r="AT55" s="1400"/>
      <c r="AU55" s="1503"/>
      <c r="AV55" s="1400"/>
      <c r="AW55" s="1503"/>
      <c r="AX55" s="1400"/>
      <c r="AY55" s="1400"/>
      <c r="AZ55" s="1400"/>
      <c r="BA55" s="1400"/>
      <c r="BB55" s="1404"/>
      <c r="BC55" s="2261"/>
      <c r="BE55" s="507"/>
      <c r="BF55" s="507"/>
      <c r="BG55" s="507"/>
      <c r="BH55" s="507"/>
      <c r="BI55" s="1162">
        <v>11</v>
      </c>
    </row>
    <row customHeight="1" ht="11.549999999999999">
      <c r="A56" s="1370" t="s">
        <v>424</v>
      </c>
      <c r="B56" s="1370" t="s">
        <v>425</v>
      </c>
      <c r="C56" s="1370" t="s">
        <v>426</v>
      </c>
      <c r="D56" s="1370" t="s">
        <v>706</v>
      </c>
      <c r="E56" s="2266"/>
      <c r="F56" s="2266"/>
      <c r="G56" s="2266"/>
      <c r="H56" s="2266"/>
      <c r="I56" s="2293"/>
      <c r="J56" s="2293"/>
      <c r="K56" s="2263"/>
      <c r="L56" s="1371"/>
      <c r="P56" s="2264"/>
      <c r="Q56" s="2264"/>
      <c r="R56" s="364"/>
      <c r="S56" s="2350"/>
      <c r="T56" s="2369"/>
      <c r="U56" s="307"/>
      <c r="V56" s="1400"/>
      <c r="W56" s="1401" t="str">
        <f>Z52&amp;"-"&amp;AB52</f>
        <v>-</v>
      </c>
      <c r="X56" s="1400"/>
      <c r="Y56" s="1401" t="str">
        <f>AB52&amp;"-"&amp;AD52</f>
        <v>-да</v>
      </c>
      <c r="Z56" s="1400"/>
      <c r="AA56" s="1400"/>
      <c r="AB56" s="1400"/>
      <c r="AC56" s="1400"/>
      <c r="AD56" s="2119"/>
      <c r="AE56" s="319"/>
      <c r="AF56" s="321"/>
      <c r="AG56" s="423" t="s">
        <v>667</v>
      </c>
      <c r="AH56" s="1400"/>
      <c r="AI56" s="1400"/>
      <c r="AJ56" s="1400"/>
      <c r="AK56" s="1400"/>
      <c r="AL56" s="1400"/>
      <c r="AM56" s="1400"/>
      <c r="AN56" s="1400"/>
      <c r="AO56" s="1400"/>
      <c r="AP56" s="1400"/>
      <c r="AQ56" s="1400"/>
      <c r="AR56" s="1400"/>
      <c r="AS56" s="1400"/>
      <c r="AT56" s="1400"/>
      <c r="AU56" s="1401" t="str">
        <f>AX52&amp;"-"&amp;AZ52</f>
        <v>-</v>
      </c>
      <c r="AV56" s="1400"/>
      <c r="AW56" s="1401" t="str">
        <f>AZ52&amp;"-"&amp;BB52</f>
        <v>-</v>
      </c>
      <c r="AX56" s="1400"/>
      <c r="AY56" s="1400"/>
      <c r="AZ56" s="1400"/>
      <c r="BA56" s="1400"/>
      <c r="BB56" s="1403" t="str">
        <f>BE52&amp;"-"&amp;BG52</f>
        <v>-</v>
      </c>
      <c r="BC56" s="2261"/>
      <c r="BE56" s="507"/>
      <c r="BF56" s="507" t="str">
        <f>IF(T56="","",T56)</f>
        <v/>
      </c>
      <c r="BG56" s="507"/>
      <c r="BH56" s="507"/>
      <c r="BI56" s="1162">
        <v>11</v>
      </c>
    </row>
    <row customHeight="1" ht="11.549999999999999">
      <c r="A57" s="1370" t="s">
        <v>424</v>
      </c>
      <c r="B57" s="1370" t="s">
        <v>425</v>
      </c>
      <c r="C57" s="1370" t="s">
        <v>426</v>
      </c>
      <c r="D57" s="1370" t="s">
        <v>706</v>
      </c>
      <c r="E57" s="2266"/>
      <c r="F57" s="2266"/>
      <c r="G57" s="2266"/>
      <c r="H57" s="2266"/>
      <c r="I57" s="2293"/>
      <c r="J57" s="2263"/>
      <c r="K57" s="1370"/>
      <c r="L57" s="1371"/>
      <c r="P57" s="2264"/>
      <c r="Q57" s="2264"/>
      <c r="R57" s="363"/>
      <c r="S57" s="1285"/>
      <c r="T57" s="294" t="s">
        <v>628</v>
      </c>
      <c r="U57" s="374"/>
      <c r="V57" s="374"/>
      <c r="W57" s="374"/>
      <c r="X57" s="374"/>
      <c r="Y57" s="374"/>
      <c r="Z57" s="374"/>
      <c r="AA57" s="374"/>
      <c r="AB57" s="374"/>
      <c r="AC57" s="331"/>
      <c r="AD57" s="1512"/>
      <c r="AE57" s="374"/>
      <c r="AF57" s="374"/>
      <c r="AG57" s="374"/>
      <c r="AH57" s="374"/>
      <c r="AI57" s="374"/>
      <c r="AJ57" s="374"/>
      <c r="AK57" s="374"/>
      <c r="AL57" s="374"/>
      <c r="AM57" s="374"/>
      <c r="AN57" s="374"/>
      <c r="AO57" s="374"/>
      <c r="AP57" s="374"/>
      <c r="AQ57" s="374"/>
      <c r="AR57" s="374"/>
      <c r="AS57" s="374"/>
      <c r="AT57" s="374"/>
      <c r="AU57" s="374"/>
      <c r="AV57" s="374"/>
      <c r="AW57" s="374"/>
      <c r="AX57" s="374"/>
      <c r="AY57" s="374"/>
      <c r="AZ57" s="374"/>
      <c r="BA57" s="374"/>
      <c r="BB57" s="331"/>
      <c r="BC57" s="2262"/>
      <c r="BE57" s="507"/>
      <c r="BF57" s="507" t="str">
        <f>IF(T57="","",T57)</f>
        <v>Добавить строку</v>
      </c>
      <c r="BG57" s="507"/>
      <c r="BH57" s="507"/>
      <c r="BI57" s="1162">
        <v>11</v>
      </c>
    </row>
    <row s="1649" customFormat="1" customHeight="1" ht="0">
      <c r="A58" s="1350" t="s">
        <v>424</v>
      </c>
      <c r="B58" s="1350" t="s">
        <v>425</v>
      </c>
      <c r="C58" s="1350" t="s">
        <v>426</v>
      </c>
      <c r="D58" s="1350" t="s">
        <v>706</v>
      </c>
      <c r="E58" s="2266"/>
      <c r="F58" s="2266"/>
      <c r="G58" s="2266"/>
      <c r="H58" s="2266"/>
      <c r="I58" s="2263"/>
      <c r="J58" s="1350"/>
      <c r="K58" s="1350"/>
      <c r="L58" s="1353"/>
      <c r="M58" s="517"/>
      <c r="N58" s="517"/>
      <c r="O58" s="517"/>
      <c r="P58" s="2264"/>
      <c r="Q58" s="1488"/>
      <c r="R58" s="363"/>
      <c r="S58" s="1393"/>
      <c r="T58" s="1394"/>
      <c r="U58" s="1395"/>
      <c r="V58" s="1395"/>
      <c r="W58" s="1395"/>
      <c r="X58" s="1395"/>
      <c r="Y58" s="1395"/>
      <c r="Z58" s="1395"/>
      <c r="AA58" s="1395"/>
      <c r="AB58" s="1395"/>
      <c r="AC58" s="1395"/>
      <c r="AD58" s="1395"/>
      <c r="AE58" s="1395"/>
      <c r="AF58" s="1395"/>
      <c r="AG58" s="1395"/>
      <c r="AH58" s="1395"/>
      <c r="AI58" s="1395"/>
      <c r="AJ58" s="1395"/>
      <c r="AK58" s="1395"/>
      <c r="AL58" s="1395"/>
      <c r="AM58" s="1395"/>
      <c r="AN58" s="1395"/>
      <c r="AO58" s="1395"/>
      <c r="AP58" s="1395"/>
      <c r="AQ58" s="1395"/>
      <c r="AR58" s="1395"/>
      <c r="AS58" s="1395"/>
      <c r="AT58" s="1395"/>
      <c r="AU58" s="1395"/>
      <c r="AV58" s="1395"/>
      <c r="AW58" s="1395"/>
      <c r="AX58" s="1395"/>
      <c r="AY58" s="1395"/>
      <c r="AZ58" s="1395"/>
      <c r="BA58" s="1395"/>
      <c r="BB58" s="1395"/>
      <c r="BC58" s="1396"/>
      <c r="BE58" s="507"/>
      <c r="BF58" s="507" t="str">
        <f>IF(T58="","",T58)</f>
        <v/>
      </c>
      <c r="BG58" s="507"/>
      <c r="BH58" s="507"/>
      <c r="BI58" s="518">
        <v>0</v>
      </c>
    </row>
    <row s="1649" customFormat="1" customHeight="1" ht="0">
      <c r="A59" s="1350" t="s">
        <v>424</v>
      </c>
      <c r="B59" s="1350" t="s">
        <v>425</v>
      </c>
      <c r="C59" s="1350" t="s">
        <v>426</v>
      </c>
      <c r="D59" s="1350" t="s">
        <v>706</v>
      </c>
      <c r="E59" s="2266"/>
      <c r="F59" s="2266"/>
      <c r="G59" s="2266"/>
      <c r="H59" s="2265"/>
      <c r="I59" s="1350"/>
      <c r="J59" s="1350"/>
      <c r="K59" s="1350"/>
      <c r="L59" s="1353"/>
      <c r="M59" s="1322"/>
      <c r="N59" s="1322"/>
      <c r="O59" s="525"/>
      <c r="P59" s="387"/>
      <c r="Q59" s="1351"/>
      <c r="R59" s="1408"/>
      <c r="S59" s="1393"/>
      <c r="T59" s="1394"/>
      <c r="U59" s="1395"/>
      <c r="V59" s="1395"/>
      <c r="W59" s="1395"/>
      <c r="X59" s="1395"/>
      <c r="Y59" s="1395"/>
      <c r="Z59" s="1395"/>
      <c r="AA59" s="1395"/>
      <c r="AB59" s="1395"/>
      <c r="AC59" s="1395"/>
      <c r="AD59" s="1395"/>
      <c r="AE59" s="1395"/>
      <c r="AF59" s="1395"/>
      <c r="AG59" s="1395"/>
      <c r="AH59" s="1395"/>
      <c r="AI59" s="1395"/>
      <c r="AJ59" s="1395"/>
      <c r="AK59" s="1395"/>
      <c r="AL59" s="1395"/>
      <c r="AM59" s="1395"/>
      <c r="AN59" s="1395"/>
      <c r="AO59" s="1395"/>
      <c r="AP59" s="1395"/>
      <c r="AQ59" s="1395"/>
      <c r="AR59" s="1395"/>
      <c r="AS59" s="1395"/>
      <c r="AT59" s="1395"/>
      <c r="AU59" s="1395"/>
      <c r="AV59" s="1395"/>
      <c r="AW59" s="1395"/>
      <c r="AX59" s="1395"/>
      <c r="AY59" s="1395"/>
      <c r="AZ59" s="1395"/>
      <c r="BA59" s="1395"/>
      <c r="BB59" s="1395"/>
      <c r="BC59" s="1396"/>
      <c r="BE59" s="507"/>
      <c r="BF59" s="507" t="str">
        <f>IF(T59="","",T59)</f>
        <v/>
      </c>
      <c r="BG59" s="507"/>
      <c r="BH59" s="507"/>
      <c r="BI59" s="518">
        <v>0</v>
      </c>
    </row>
    <row s="1649" customFormat="1" customHeight="1" ht="0">
      <c r="A60" s="1350" t="s">
        <v>424</v>
      </c>
      <c r="B60" s="1350" t="s">
        <v>425</v>
      </c>
      <c r="C60" s="1350" t="s">
        <v>426</v>
      </c>
      <c r="D60" s="1321"/>
      <c r="E60" s="2266"/>
      <c r="F60" s="2266"/>
      <c r="G60" s="2265"/>
      <c r="H60" s="1321"/>
      <c r="I60" s="1321"/>
      <c r="J60" s="1321"/>
      <c r="K60" s="1321"/>
      <c r="L60" s="1501"/>
      <c r="M60" s="1322"/>
      <c r="N60" s="1322"/>
      <c r="P60" s="1323"/>
      <c r="Q60" s="1324"/>
      <c r="R60" s="1323"/>
      <c r="S60" s="1329"/>
      <c r="T60" s="1332"/>
      <c r="U60" s="1331"/>
      <c r="V60" s="1331"/>
      <c r="W60" s="1331"/>
      <c r="X60" s="1331"/>
      <c r="Y60" s="1331"/>
      <c r="Z60" s="1331"/>
      <c r="AA60" s="1331"/>
      <c r="AB60" s="1331"/>
      <c r="AC60" s="1331"/>
      <c r="AD60" s="1331"/>
      <c r="AE60" s="1331"/>
      <c r="AF60" s="1331"/>
      <c r="AG60" s="1331"/>
      <c r="AH60" s="1331"/>
      <c r="AI60" s="1331"/>
      <c r="AJ60" s="1331"/>
      <c r="AK60" s="1331"/>
      <c r="AL60" s="1331"/>
      <c r="AM60" s="1331"/>
      <c r="AN60" s="1331"/>
      <c r="AO60" s="1331"/>
      <c r="AP60" s="1331"/>
      <c r="AQ60" s="1331"/>
      <c r="AR60" s="1331"/>
      <c r="AS60" s="1331"/>
      <c r="AT60" s="1331"/>
      <c r="AU60" s="1331"/>
      <c r="AV60" s="1331"/>
      <c r="AW60" s="1331"/>
      <c r="AX60" s="1331"/>
      <c r="AY60" s="1331"/>
      <c r="AZ60" s="1331"/>
      <c r="BA60" s="1331"/>
      <c r="BB60" s="1331"/>
      <c r="BC60" s="1331"/>
      <c r="BE60" s="796"/>
      <c r="BF60" s="796" t="str">
        <f>IF(T60="","",T60)</f>
        <v/>
      </c>
      <c r="BG60" s="796"/>
      <c r="BH60" s="796"/>
      <c r="BI60" s="525">
        <v>0</v>
      </c>
    </row>
    <row s="1649" customFormat="1" customHeight="1" ht="0">
      <c r="A61" s="1350" t="s">
        <v>424</v>
      </c>
      <c r="B61" s="1350" t="s">
        <v>425</v>
      </c>
      <c r="C61" s="1321"/>
      <c r="D61" s="1321"/>
      <c r="E61" s="2266"/>
      <c r="F61" s="2265"/>
      <c r="G61" s="1321"/>
      <c r="H61" s="1321"/>
      <c r="I61" s="1321"/>
      <c r="J61" s="1321"/>
      <c r="K61" s="1321"/>
      <c r="L61" s="1501"/>
      <c r="M61" s="1328"/>
      <c r="N61" s="1328"/>
      <c r="P61" s="1323"/>
      <c r="Q61" s="1324"/>
      <c r="R61" s="1323"/>
      <c r="S61" s="1329"/>
      <c r="T61" s="1332" t="s">
        <v>316</v>
      </c>
      <c r="U61" s="1331"/>
      <c r="V61" s="1331"/>
      <c r="W61" s="1331"/>
      <c r="X61" s="1331"/>
      <c r="Y61" s="1331"/>
      <c r="Z61" s="1331"/>
      <c r="AA61" s="1331"/>
      <c r="AB61" s="1331"/>
      <c r="AC61" s="1331"/>
      <c r="AD61" s="1331"/>
      <c r="AE61" s="1331"/>
      <c r="AF61" s="1331"/>
      <c r="AG61" s="1331"/>
      <c r="AH61" s="1331"/>
      <c r="AI61" s="1331"/>
      <c r="AJ61" s="1331"/>
      <c r="AK61" s="1331"/>
      <c r="AL61" s="1331"/>
      <c r="AM61" s="1331"/>
      <c r="AN61" s="1331"/>
      <c r="AO61" s="1331"/>
      <c r="AP61" s="1331"/>
      <c r="AQ61" s="1331"/>
      <c r="AR61" s="1331"/>
      <c r="AS61" s="1331"/>
      <c r="AT61" s="1331"/>
      <c r="AU61" s="1331"/>
      <c r="AV61" s="1331"/>
      <c r="AW61" s="1331"/>
      <c r="AX61" s="1331"/>
      <c r="AY61" s="1331"/>
      <c r="AZ61" s="1331"/>
      <c r="BA61" s="1331"/>
      <c r="BB61" s="1331"/>
      <c r="BC61" s="1331"/>
      <c r="BE61" s="796"/>
      <c r="BF61" s="796" t="str">
        <f>IF(T61="","",T61)</f>
        <v>Добавить централизованную систему для дифференциации</v>
      </c>
      <c r="BG61" s="796"/>
      <c r="BH61" s="796"/>
      <c r="BI61" s="525">
        <v>0</v>
      </c>
    </row>
    <row s="1649" customFormat="1" customHeight="1" ht="0">
      <c r="A62" s="1350" t="s">
        <v>424</v>
      </c>
      <c r="B62" s="1350"/>
      <c r="C62" s="1350"/>
      <c r="D62" s="1350"/>
      <c r="E62" s="2265"/>
      <c r="F62" s="1350"/>
      <c r="G62" s="1350"/>
      <c r="H62" s="1350"/>
      <c r="I62" s="1350"/>
      <c r="J62" s="1350"/>
      <c r="K62" s="1350"/>
      <c r="L62" s="1353"/>
      <c r="M62" s="1328"/>
      <c r="N62" s="1328"/>
      <c r="O62" s="525"/>
      <c r="P62" s="387"/>
      <c r="Q62" s="1351"/>
      <c r="R62" s="387"/>
      <c r="S62" s="1329"/>
      <c r="T62" s="1332" t="s">
        <v>390</v>
      </c>
      <c r="U62" s="1331"/>
      <c r="V62" s="1331"/>
      <c r="W62" s="1331"/>
      <c r="X62" s="1331"/>
      <c r="Y62" s="1331"/>
      <c r="Z62" s="1331"/>
      <c r="AA62" s="1331"/>
      <c r="AB62" s="1331"/>
      <c r="AC62" s="1331"/>
      <c r="AD62" s="1331"/>
      <c r="AE62" s="1331"/>
      <c r="AF62" s="1331"/>
      <c r="AG62" s="1331"/>
      <c r="AH62" s="1331"/>
      <c r="AI62" s="1331"/>
      <c r="AJ62" s="1331"/>
      <c r="AK62" s="1331"/>
      <c r="AL62" s="1331"/>
      <c r="AM62" s="1331"/>
      <c r="AN62" s="1331"/>
      <c r="AO62" s="1331"/>
      <c r="AP62" s="1331"/>
      <c r="AQ62" s="1331"/>
      <c r="AR62" s="1331"/>
      <c r="AS62" s="1331"/>
      <c r="AT62" s="1331"/>
      <c r="AU62" s="1331"/>
      <c r="AV62" s="1331"/>
      <c r="AW62" s="1331"/>
      <c r="AX62" s="1331"/>
      <c r="AY62" s="1331"/>
      <c r="AZ62" s="1331"/>
      <c r="BA62" s="1331"/>
      <c r="BB62" s="1331"/>
      <c r="BC62" s="1331"/>
      <c r="BE62" s="507"/>
      <c r="BF62" s="507" t="str">
        <f>IF(T62="","",T62)</f>
        <v>Добавить территорию для дифференциации</v>
      </c>
      <c r="BG62" s="507"/>
      <c r="BH62" s="507"/>
      <c r="BI62" s="518">
        <v>0</v>
      </c>
    </row>
    <row s="1649" customFormat="1" customHeight="1" ht="0">
      <c r="A63" s="1321"/>
      <c r="B63" s="1321"/>
      <c r="C63" s="1321"/>
      <c r="D63" s="1321"/>
      <c r="E63" s="1350"/>
      <c r="F63" s="1321"/>
      <c r="G63" s="1321"/>
      <c r="H63" s="1321"/>
      <c r="I63" s="1321"/>
      <c r="J63" s="1321"/>
      <c r="K63" s="1321"/>
      <c r="L63" s="1501"/>
      <c r="M63" s="1328"/>
      <c r="N63" s="1328"/>
      <c r="P63" s="1323"/>
      <c r="Q63" s="1324"/>
      <c r="R63" s="1323"/>
      <c r="S63" s="1329"/>
      <c r="T63" s="1332" t="s">
        <v>391</v>
      </c>
      <c r="U63" s="1331"/>
      <c r="V63" s="1331"/>
      <c r="W63" s="1331"/>
      <c r="X63" s="1331"/>
      <c r="Y63" s="1331"/>
      <c r="Z63" s="1331"/>
      <c r="AA63" s="1331"/>
      <c r="AB63" s="1331"/>
      <c r="AC63" s="1331"/>
      <c r="AD63" s="1331"/>
      <c r="AE63" s="1331"/>
      <c r="AF63" s="1331"/>
      <c r="AG63" s="1331"/>
      <c r="AH63" s="1331"/>
      <c r="AI63" s="1331"/>
      <c r="AJ63" s="1331"/>
      <c r="AK63" s="1331"/>
      <c r="AL63" s="1331"/>
      <c r="AM63" s="1331"/>
      <c r="AN63" s="1331"/>
      <c r="AO63" s="1331"/>
      <c r="AP63" s="1331"/>
      <c r="AQ63" s="1331"/>
      <c r="AR63" s="1331"/>
      <c r="AS63" s="1331"/>
      <c r="AT63" s="1331"/>
      <c r="AU63" s="1331"/>
      <c r="AV63" s="1331"/>
      <c r="AW63" s="1331"/>
      <c r="AX63" s="1331"/>
      <c r="AY63" s="1331"/>
      <c r="AZ63" s="1331"/>
      <c r="BA63" s="1331"/>
      <c r="BB63" s="1331"/>
      <c r="BC63" s="1331"/>
      <c r="BE63" s="796"/>
      <c r="BF63" s="796" t="str">
        <f>IF(T63="","",T63)</f>
        <v>Добавить наименование тарифа</v>
      </c>
      <c r="BG63" s="796"/>
      <c r="BH63" s="796"/>
      <c r="BI63" s="525">
        <v>0</v>
      </c>
    </row>
    <row customHeight="1" ht="11.549999999999999">
      <c r="M64" s="1167"/>
      <c r="N64" s="1167"/>
      <c r="O64" s="544"/>
      <c r="P64" s="1167"/>
      <c r="Q64" s="1167"/>
      <c r="R64" s="1162"/>
      <c r="S64" s="1162"/>
      <c r="BD64" s="1162"/>
      <c r="BE64" s="1162"/>
      <c r="BF64" s="1162"/>
      <c r="BG64" s="1162"/>
      <c r="BH64" s="1162"/>
      <c r="BI64" s="1162">
        <v>11</v>
      </c>
    </row>
    <row customHeight="1" ht="19.95">
      <c r="O65" s="544"/>
      <c r="S65" s="1260"/>
      <c r="T65" s="2292"/>
      <c r="U65" s="2292"/>
      <c r="V65" s="2292"/>
      <c r="W65" s="2292"/>
      <c r="X65" s="2292"/>
      <c r="Y65" s="2292"/>
      <c r="Z65" s="2292"/>
      <c r="AA65" s="2292"/>
      <c r="AB65" s="2292"/>
      <c r="AC65" s="2292"/>
      <c r="AD65" s="2292"/>
      <c r="AE65" s="2292"/>
      <c r="AF65" s="2292"/>
      <c r="AG65" s="2292"/>
      <c r="AH65" s="2292"/>
      <c r="AI65" s="2292"/>
      <c r="AJ65" s="2292"/>
      <c r="AK65" s="2292"/>
      <c r="AL65" s="2292"/>
      <c r="AM65" s="2292"/>
      <c r="AN65" s="2292"/>
      <c r="AO65" s="2292"/>
      <c r="AP65" s="2292"/>
      <c r="AQ65" s="2292"/>
      <c r="AR65" s="2292"/>
      <c r="AS65" s="2292"/>
      <c r="AT65" s="2292"/>
      <c r="AU65" s="2292"/>
      <c r="AV65" s="2292"/>
      <c r="AW65" s="2292"/>
      <c r="AX65" s="2292"/>
      <c r="AY65" s="2292"/>
      <c r="AZ65" s="2292"/>
      <c r="BA65" s="2292"/>
      <c r="BB65" s="2292"/>
      <c r="BC65" s="2292"/>
      <c r="BI65" s="1162">
        <v>19</v>
      </c>
    </row>
    <row customHeight="1" ht="14.699999999999998">
      <c r="O66" s="544"/>
      <c r="T66" s="1487"/>
      <c r="U66" s="1487"/>
      <c r="V66" s="1487"/>
      <c r="W66" s="1487"/>
      <c r="X66" s="1487"/>
      <c r="Y66" s="1487"/>
      <c r="Z66" s="1487"/>
      <c r="AA66" s="1487"/>
      <c r="AB66" s="1487"/>
      <c r="AC66" s="1487"/>
      <c r="AD66" s="1487"/>
      <c r="AE66" s="1487"/>
      <c r="AF66" s="1487"/>
      <c r="AG66" s="1487"/>
      <c r="AH66" s="1487"/>
      <c r="AI66" s="1487"/>
      <c r="AJ66" s="1487"/>
      <c r="AK66" s="1487"/>
      <c r="AL66" s="1487"/>
      <c r="AM66" s="1487"/>
      <c r="AN66" s="1487"/>
      <c r="AO66" s="1487"/>
      <c r="AP66" s="1487"/>
      <c r="AQ66" s="1487"/>
      <c r="AR66" s="1487"/>
      <c r="AS66" s="1487"/>
      <c r="AT66" s="1487"/>
      <c r="AU66" s="1487"/>
      <c r="AV66" s="1487"/>
      <c r="AW66" s="1487"/>
      <c r="AX66" s="1487"/>
      <c r="AY66" s="1487"/>
      <c r="AZ66" s="1487"/>
      <c r="BA66" s="1487"/>
      <c r="BB66" s="1487"/>
      <c r="BC66" s="1487"/>
      <c r="BI66" s="1162">
        <v>14</v>
      </c>
    </row>
    <row customHeight="1" ht="19.95">
      <c r="O67" s="544"/>
      <c r="S67" s="1260"/>
      <c r="T67" s="2292"/>
      <c r="U67" s="2292"/>
      <c r="V67" s="2292"/>
      <c r="W67" s="2292"/>
      <c r="X67" s="2292"/>
      <c r="Y67" s="2292"/>
      <c r="Z67" s="2292"/>
      <c r="AA67" s="2292"/>
      <c r="AB67" s="2292"/>
      <c r="AC67" s="2292"/>
      <c r="AD67" s="2292"/>
      <c r="AE67" s="2292"/>
      <c r="AF67" s="2292"/>
      <c r="AG67" s="2292"/>
      <c r="AH67" s="2292"/>
      <c r="AI67" s="2292"/>
      <c r="AJ67" s="2292"/>
      <c r="AK67" s="2292"/>
      <c r="AL67" s="2292"/>
      <c r="AM67" s="2292"/>
      <c r="AN67" s="2292"/>
      <c r="AO67" s="2292"/>
      <c r="AP67" s="2292"/>
      <c r="AQ67" s="2292"/>
      <c r="AR67" s="2292"/>
      <c r="AS67" s="2292"/>
      <c r="AT67" s="2292"/>
      <c r="AU67" s="2292"/>
      <c r="AV67" s="2292"/>
      <c r="AW67" s="2292"/>
      <c r="AX67" s="2292"/>
      <c r="AY67" s="2292"/>
      <c r="AZ67" s="2292"/>
      <c r="BA67" s="2292"/>
      <c r="BB67" s="2292"/>
      <c r="BC67" s="2292"/>
      <c r="BI67" s="1162">
        <v>19</v>
      </c>
    </row>
    <row customHeight="1" ht="14.699999999999998">
      <c r="O68" s="544"/>
      <c r="BI68" s="1162">
        <v>14</v>
      </c>
    </row>
    <row customHeight="1" ht="14.25" hidden="1">
      <c r="A69" s="1167" t="s">
        <v>82</v>
      </c>
      <c r="B69" s="1167">
        <v>0</v>
      </c>
      <c r="C69" s="1167">
        <v>0</v>
      </c>
      <c r="D69" s="1167">
        <v>0</v>
      </c>
      <c r="E69" s="1167">
        <v>0</v>
      </c>
      <c r="F69" s="1167">
        <v>0</v>
      </c>
      <c r="G69" s="1167">
        <v>0</v>
      </c>
      <c r="H69" s="1167">
        <v>0</v>
      </c>
      <c r="I69" s="1167">
        <v>0</v>
      </c>
      <c r="J69" s="1167">
        <v>0</v>
      </c>
      <c r="K69" s="1167">
        <v>0</v>
      </c>
      <c r="L69" s="1485">
        <v>0</v>
      </c>
      <c r="M69" s="1369">
        <v>0</v>
      </c>
      <c r="N69" s="1369">
        <v>0</v>
      </c>
      <c r="O69" s="1369">
        <v>0</v>
      </c>
      <c r="P69" s="1369">
        <v>0</v>
      </c>
      <c r="Q69" s="1378">
        <v>0</v>
      </c>
      <c r="R69" s="351">
        <v>3</v>
      </c>
      <c r="S69" s="588">
        <v>12</v>
      </c>
      <c r="T69" s="1162">
        <v>31</v>
      </c>
      <c r="U69" s="1162">
        <v>0</v>
      </c>
      <c r="V69" s="1162">
        <v>0</v>
      </c>
      <c r="W69" s="1162">
        <v>0</v>
      </c>
      <c r="X69" s="1162">
        <v>0</v>
      </c>
      <c r="Y69" s="1162">
        <v>0</v>
      </c>
      <c r="Z69" s="1162">
        <v>0</v>
      </c>
      <c r="AA69" s="1162">
        <v>0</v>
      </c>
      <c r="AB69" s="1162">
        <v>0</v>
      </c>
      <c r="AC69" s="1162">
        <v>0</v>
      </c>
      <c r="AD69" s="1162">
        <v>3</v>
      </c>
      <c r="AE69" s="1162">
        <v>3</v>
      </c>
      <c r="AF69" s="1162">
        <v>3</v>
      </c>
      <c r="AG69" s="1162">
        <v>24</v>
      </c>
      <c r="AH69" s="1162">
        <v>3</v>
      </c>
      <c r="AI69" s="1162">
        <v>3</v>
      </c>
      <c r="AJ69" s="1162">
        <v>3</v>
      </c>
      <c r="AK69" s="1162">
        <v>24</v>
      </c>
      <c r="AL69" s="1162">
        <v>3</v>
      </c>
      <c r="AM69" s="1162">
        <v>3</v>
      </c>
      <c r="AN69" s="1162">
        <v>3</v>
      </c>
      <c r="AO69" s="1162">
        <v>18</v>
      </c>
      <c r="AP69" s="1162">
        <v>3</v>
      </c>
      <c r="AQ69" s="1162">
        <v>3</v>
      </c>
      <c r="AR69" s="1162">
        <v>3</v>
      </c>
      <c r="AS69" s="1162">
        <v>18</v>
      </c>
      <c r="AT69" s="1162">
        <v>21</v>
      </c>
      <c r="AU69" s="1162">
        <v>21</v>
      </c>
      <c r="AV69" s="1162">
        <v>21</v>
      </c>
      <c r="AW69" s="1162">
        <v>21</v>
      </c>
      <c r="AX69" s="1162">
        <v>11</v>
      </c>
      <c r="AY69" s="1162">
        <v>3</v>
      </c>
      <c r="AZ69" s="1162">
        <v>11</v>
      </c>
      <c r="BA69" s="1162">
        <v>0</v>
      </c>
      <c r="BB69" s="1162">
        <v>4</v>
      </c>
      <c r="BC69" s="1162">
        <v>115</v>
      </c>
      <c r="BD69" s="518">
        <v>10</v>
      </c>
      <c r="BE69" s="518">
        <v>10</v>
      </c>
      <c r="BF69" s="518">
        <v>10</v>
      </c>
      <c r="BG69" s="518">
        <v>10</v>
      </c>
      <c r="BH69" s="518">
        <v>10</v>
      </c>
      <c r="BI69" s="1162">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42B0BA-813E-7F35-DEEE-CAFC9CA8525F}"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94" width="10.7109375" hidden="1" customWidth="1"/>
    <col min="2" max="2" style="1373" width="16.8515625" hidden="1" customWidth="1"/>
    <col min="3" max="3" style="1649" width="5.57421875" hidden="1" customWidth="1"/>
    <col min="4" max="4" style="1642" width="3.00390625" customWidth="1"/>
    <col min="5" max="5" style="1642" width="7.00390625" customWidth="1"/>
    <col min="6" max="6" style="1642" width="54.00390625" customWidth="1"/>
    <col min="7" max="7" style="1642" width="10.00390625" customWidth="1"/>
    <col min="8" max="8" style="1642" width="40.7109375" hidden="1" customWidth="1"/>
    <col min="9" max="9" style="1642" width="40.7109375" customWidth="1"/>
    <col min="10" max="10" style="1642" width="102.00390625" customWidth="1"/>
    <col min="11" max="11" style="1373" width="9.00390625" customWidth="1"/>
    <col min="12" max="12" style="1649" width="5.00390625" customWidth="1"/>
    <col min="13" max="13" style="1649" width="3.00390625" customWidth="1"/>
    <col min="14" max="17" style="1373" width="3.00390625" customWidth="1"/>
    <col min="18" max="18" style="1649" width="10.00390625" customWidth="1"/>
    <col min="19" max="19" style="1373" width="34.00390625" customWidth="1"/>
    <col min="20" max="20" style="1373" width="9.00390625" customWidth="1"/>
    <col min="21" max="21" style="743" width="8.00390625" customWidth="1"/>
    <col min="22" max="26" style="1373" width="8.00390625" customWidth="1"/>
    <col min="27" max="31" style="1639" width="8.00390625" customWidth="1"/>
    <col min="32" max="32" style="1642" width="9.140625" hidden="1"/>
  </cols>
  <sheetData>
    <row customHeight="1" ht="22.5" hidden="1">
      <c r="AF1" s="1638" t="s">
        <v>14</v>
      </c>
    </row>
    <row customHeight="1" ht="23.25" hidden="1">
      <c r="B2" s="2106"/>
      <c r="C2" s="1174" t="s">
        <v>707</v>
      </c>
      <c r="D2" s="1645"/>
      <c r="E2" s="553">
        <f>B2</f>
        <v>0</v>
      </c>
      <c r="F2" s="554"/>
      <c r="G2" s="1653" t="s">
        <v>708</v>
      </c>
      <c r="H2" s="1653" t="s">
        <v>708</v>
      </c>
      <c r="I2" s="1653" t="s">
        <v>708</v>
      </c>
      <c r="J2" s="296" t="s">
        <v>709</v>
      </c>
      <c r="K2" s="550"/>
      <c r="AF2" s="1638">
        <v>0</v>
      </c>
    </row>
    <row s="1649" customFormat="1" customHeight="1" ht="0.75" hidden="1">
      <c r="B3" s="2106"/>
      <c r="C3" s="1174"/>
      <c r="D3" s="555"/>
      <c r="E3" s="556"/>
      <c r="F3" s="557" t="s">
        <v>710</v>
      </c>
      <c r="G3" s="558"/>
      <c r="H3" s="558">
        <f>H4*H5+H7</f>
        <v>0</v>
      </c>
      <c r="I3" s="558">
        <f>I4*I5+I6</f>
        <v>0</v>
      </c>
      <c r="J3" s="559"/>
      <c r="AF3" s="1643">
        <v>0</v>
      </c>
    </row>
    <row customHeight="1" ht="23.25" hidden="1">
      <c r="B4" s="2106"/>
      <c r="C4" s="1174"/>
      <c r="D4" s="1645"/>
      <c r="E4" s="553" t="str">
        <f>B2&amp;".1"</f>
        <v>.1</v>
      </c>
      <c r="F4" s="560" t="s">
        <v>711</v>
      </c>
      <c r="G4" s="561"/>
      <c r="H4" s="548"/>
      <c r="I4" s="548"/>
      <c r="J4" s="296" t="s">
        <v>712</v>
      </c>
      <c r="K4" s="550"/>
      <c r="AF4" s="1638">
        <v>0</v>
      </c>
    </row>
    <row customHeight="1" ht="18.75" hidden="1">
      <c r="B5" s="2106"/>
      <c r="C5" s="1174"/>
      <c r="D5" s="1645"/>
      <c r="E5" s="553" t="str">
        <f>B2&amp;".2"</f>
        <v>.2</v>
      </c>
      <c r="F5" s="560" t="s">
        <v>713</v>
      </c>
      <c r="G5" s="1653" t="s">
        <v>714</v>
      </c>
      <c r="H5" s="548"/>
      <c r="I5" s="548"/>
      <c r="J5" s="296"/>
      <c r="K5" s="550"/>
      <c r="AF5" s="1638">
        <v>0</v>
      </c>
    </row>
    <row customHeight="1" ht="18.75" hidden="1">
      <c r="B6" s="2106"/>
      <c r="C6" s="1174"/>
      <c r="D6" s="1645"/>
      <c r="E6" s="553" t="str">
        <f>B2&amp;".3"</f>
        <v>.3</v>
      </c>
      <c r="F6" s="560" t="s">
        <v>715</v>
      </c>
      <c r="G6" s="1653" t="s">
        <v>714</v>
      </c>
      <c r="H6" s="548"/>
      <c r="I6" s="548"/>
      <c r="J6" s="296"/>
      <c r="K6" s="550"/>
      <c r="AF6" s="1638">
        <v>0</v>
      </c>
    </row>
    <row customHeight="1" ht="18.75" hidden="1">
      <c r="B7" s="2106"/>
      <c r="C7" s="1174"/>
      <c r="D7" s="1645"/>
      <c r="E7" s="553" t="str">
        <f>B2&amp;".4"</f>
        <v>.4</v>
      </c>
      <c r="F7" s="560" t="s">
        <v>716</v>
      </c>
      <c r="G7" s="1653" t="s">
        <v>708</v>
      </c>
      <c r="H7" s="562"/>
      <c r="I7" s="562"/>
      <c r="J7" s="296"/>
      <c r="K7" s="550"/>
      <c r="AF7" s="1638">
        <v>0</v>
      </c>
    </row>
    <row s="1373" customFormat="1" customHeight="1" ht="11.25" hidden="1">
      <c r="A8" s="994"/>
      <c r="C8" s="1643"/>
      <c r="D8" s="544"/>
      <c r="H8" s="1167">
        <v>4</v>
      </c>
      <c r="I8" s="1167">
        <v>4</v>
      </c>
      <c r="L8" s="1643"/>
      <c r="M8" s="1643"/>
      <c r="R8" s="1643"/>
      <c r="AF8" s="1167">
        <v>0</v>
      </c>
    </row>
    <row s="1373" customFormat="1" customHeight="1" ht="22.5" hidden="1">
      <c r="A9" s="994"/>
      <c r="C9" s="1643"/>
      <c r="D9" s="545"/>
      <c r="E9" s="1655"/>
      <c r="F9" s="547"/>
      <c r="G9" s="1653" t="s">
        <v>714</v>
      </c>
      <c r="H9" s="548"/>
      <c r="I9" s="548"/>
      <c r="J9" s="549" t="s">
        <v>717</v>
      </c>
      <c r="K9" s="550"/>
      <c r="L9" s="1643"/>
      <c r="M9" s="1643"/>
      <c r="R9" s="1643"/>
      <c r="U9" s="551"/>
      <c r="AA9" s="1639"/>
      <c r="AB9" s="1639"/>
      <c r="AC9" s="1639"/>
      <c r="AD9" s="1639"/>
      <c r="AE9" s="1639"/>
      <c r="AF9" s="1167">
        <v>0</v>
      </c>
    </row>
    <row customHeight="1" ht="11.25" hidden="1">
      <c r="AF10" s="1638">
        <v>0</v>
      </c>
    </row>
    <row customHeight="1" ht="18.75" hidden="1">
      <c r="D11" s="1645"/>
      <c r="E11" s="553"/>
      <c r="F11" s="547"/>
      <c r="G11" s="1653" t="s">
        <v>718</v>
      </c>
      <c r="H11" s="548"/>
      <c r="I11" s="548"/>
      <c r="J11" s="296" t="s">
        <v>719</v>
      </c>
      <c r="K11" s="550"/>
      <c r="AF11" s="1638">
        <v>0</v>
      </c>
    </row>
    <row customHeight="1" ht="11.25" hidden="1">
      <c r="AF12" s="1638">
        <v>0</v>
      </c>
    </row>
    <row customHeight="1" ht="22.5" hidden="1">
      <c r="D13" s="1645"/>
      <c r="E13" s="553"/>
      <c r="F13" s="547"/>
      <c r="G13" s="976" t="s">
        <v>720</v>
      </c>
      <c r="H13" s="552"/>
      <c r="I13" s="552"/>
      <c r="J13" s="752" t="s">
        <v>721</v>
      </c>
      <c r="K13" s="550"/>
      <c r="AF13" s="1638">
        <v>0</v>
      </c>
    </row>
    <row customHeight="1" ht="11.25" hidden="1">
      <c r="AF14" s="1638">
        <v>0</v>
      </c>
    </row>
    <row customHeight="1" ht="22.5" hidden="1">
      <c r="D15" s="1645"/>
      <c r="E15" s="553"/>
      <c r="F15" s="547"/>
      <c r="G15" s="1653" t="s">
        <v>722</v>
      </c>
      <c r="H15" s="552"/>
      <c r="I15" s="552"/>
      <c r="J15" s="296" t="s">
        <v>723</v>
      </c>
      <c r="K15" s="550"/>
      <c r="AF15" s="1638">
        <v>0</v>
      </c>
    </row>
    <row customHeight="1" ht="11.25" hidden="1">
      <c r="AF16" s="1638">
        <v>0</v>
      </c>
    </row>
    <row customHeight="1" ht="22.5" hidden="1">
      <c r="D17" s="1645"/>
      <c r="E17" s="553"/>
      <c r="F17" s="547"/>
      <c r="G17" s="1653" t="s">
        <v>724</v>
      </c>
      <c r="H17" s="552"/>
      <c r="I17" s="552"/>
      <c r="J17" s="296" t="s">
        <v>725</v>
      </c>
      <c r="K17" s="550"/>
      <c r="AF17" s="1638">
        <v>0</v>
      </c>
    </row>
    <row customHeight="1" ht="11.25" hidden="1">
      <c r="AF18" s="1638">
        <v>0</v>
      </c>
    </row>
    <row s="1639" customFormat="1" customHeight="1" ht="11.25" hidden="1">
      <c r="A19" s="994"/>
      <c r="B19" s="1167"/>
      <c r="C19" s="1643"/>
      <c r="D19" s="369"/>
      <c r="J19" s="1639">
        <v>4</v>
      </c>
      <c r="K19" s="1167"/>
      <c r="L19" s="1643"/>
      <c r="M19" s="1643"/>
      <c r="N19" s="1167"/>
      <c r="O19" s="1167"/>
      <c r="P19" s="1167"/>
      <c r="Q19" s="1167"/>
      <c r="R19" s="1643"/>
      <c r="S19" s="1167"/>
      <c r="T19" s="1167"/>
      <c r="U19" s="551"/>
      <c r="V19" s="1167"/>
      <c r="W19" s="1167"/>
      <c r="X19" s="1167"/>
      <c r="Y19" s="1167"/>
      <c r="Z19" s="1167"/>
      <c r="AF19" s="1639">
        <v>0</v>
      </c>
    </row>
    <row customHeight="1" ht="11.549999999999999">
      <c r="AF20" s="1638">
        <v>11</v>
      </c>
    </row>
    <row customHeight="1" ht="25.2">
      <c r="E21" s="2255"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55"/>
      <c r="G21" s="2255"/>
      <c r="H21" s="2255"/>
      <c r="I21" s="2255"/>
      <c r="J21" s="563"/>
      <c r="AF21" s="1638">
        <v>24</v>
      </c>
    </row>
    <row customHeight="1" ht="25.2">
      <c r="E22" s="2256" t="str">
        <f>IF(org=0,"Не определено",org)</f>
        <v>ГУП "Белоблводоканал"</v>
      </c>
      <c r="F22" s="2256"/>
      <c r="G22" s="2256"/>
      <c r="H22" s="2256"/>
      <c r="I22" s="2256"/>
      <c r="AF22" s="1638">
        <v>24</v>
      </c>
    </row>
    <row customHeight="1" ht="11.549999999999999">
      <c r="E23" s="1142"/>
      <c r="F23" s="1142"/>
      <c r="G23" s="1142"/>
      <c r="H23" s="1142"/>
      <c r="I23" s="1142"/>
      <c r="AF23" s="1638">
        <v>11</v>
      </c>
    </row>
    <row s="1649" customFormat="1" customHeight="1" ht="1.05">
      <c r="A24" s="1174"/>
      <c r="D24" s="1649"/>
      <c r="H24" s="896"/>
      <c r="I24" s="896" t="s">
        <v>209</v>
      </c>
      <c r="AF24" s="1643">
        <v>1</v>
      </c>
    </row>
    <row customHeight="1" ht="11.549999999999999">
      <c r="E25" s="718"/>
      <c r="F25" s="2374" t="s">
        <v>201</v>
      </c>
      <c r="G25" s="2375"/>
      <c r="H25" s="1659" t="str">
        <f>IF(H24="","",INDEX(DIFFERENTIATION_UNMERGE_VD,MATCH(H24,DIFFERENTIATION_ID_DIFF,0)))</f>
        <v/>
      </c>
      <c r="I25" s="1659">
        <f>IF(I24="","",INDEX(DIFFERENTIATION_UNMERGE_VD,MATCH(I24,DIFFERENTIATION_ID_DIFF,0)))</f>
        <v>0</v>
      </c>
      <c r="J25" s="2134"/>
      <c r="AF25" s="1638">
        <v>11</v>
      </c>
    </row>
    <row customHeight="1" ht="11.549999999999999">
      <c r="E26" s="718"/>
      <c r="F26" s="2374" t="s">
        <v>726</v>
      </c>
      <c r="G26" s="2375"/>
      <c r="H26" s="1659" t="str">
        <f>IF(H24="","",INDEX(DIFFERENTIATION_UNMERGE_AREA,MATCH(H24,DIFFERENTIATION_ID_DIFF,0)))</f>
        <v/>
      </c>
      <c r="I26" s="1659" t="str">
        <f>IF(I24="","",INDEX(DIFFERENTIATION_UNMERGE_AREA,MATCH(I24,DIFFERENTIATION_ID_DIFF,0)))</f>
        <v/>
      </c>
      <c r="J26" s="2134"/>
      <c r="AF26" s="1638">
        <v>11</v>
      </c>
    </row>
    <row customHeight="1" ht="11.549999999999999">
      <c r="E27" s="718"/>
      <c r="F27" s="2374" t="s">
        <v>727</v>
      </c>
      <c r="G27" s="2375"/>
      <c r="H27" s="1659" t="str">
        <f>IF(H24="","",INDEX(DIFFERENTIATION_UNMERGE_SYSTEM,MATCH(H24,DIFFERENTIATION_ID_DIFF,0)))</f>
        <v/>
      </c>
      <c r="I27" s="1659" t="str">
        <f>IF(I24="","",INDEX(DIFFERENTIATION_UNMERGE_SYSTEM,MATCH(I24,DIFFERENTIATION_ID_DIFF,0)))</f>
        <v>без дифференциации</v>
      </c>
      <c r="J27" s="2134"/>
      <c r="AF27" s="1638">
        <v>11</v>
      </c>
    </row>
    <row customHeight="1" ht="11.549999999999999">
      <c r="E28" s="2376" t="s">
        <v>463</v>
      </c>
      <c r="F28" s="2377"/>
      <c r="G28" s="2377"/>
      <c r="H28" s="1652"/>
      <c r="I28" s="1652"/>
      <c r="J28" s="2134"/>
      <c r="AF28" s="1638">
        <v>11</v>
      </c>
    </row>
    <row customHeight="1" ht="24">
      <c r="E29" s="1653" t="s">
        <v>88</v>
      </c>
      <c r="F29" s="1660" t="s">
        <v>465</v>
      </c>
      <c r="G29" s="1660" t="s">
        <v>728</v>
      </c>
      <c r="H29" s="1660" t="s">
        <v>466</v>
      </c>
      <c r="I29" s="1660" t="s">
        <v>466</v>
      </c>
      <c r="J29" s="2134"/>
      <c r="AF29" s="1638">
        <v>23</v>
      </c>
    </row>
    <row customHeight="1" ht="19.95">
      <c r="D30" s="1645"/>
      <c r="E30" s="553">
        <f>FHD_NUM_P_1</f>
        <v>1</v>
      </c>
      <c r="F30" s="1887" t="str">
        <f>FHD_P_1</f>
        <v>Выручка от регулируемых видов деятельности в сфере холодного водоснабжения</v>
      </c>
      <c r="G30" s="1885" t="s">
        <v>714</v>
      </c>
      <c r="H30" s="564"/>
      <c r="I30" s="564"/>
      <c r="J30" s="296" t="str">
        <f>FHD_NOTE_P_1</f>
        <v>Указывается выручка с распределением по видам деятельности.</v>
      </c>
      <c r="K30" s="550"/>
      <c r="AF30" s="1638">
        <v>19</v>
      </c>
    </row>
    <row customHeight="1" ht="11.549999999999999">
      <c r="D31" s="1645"/>
      <c r="E31" s="553">
        <f>FHD_NUM_P_2</f>
        <v>2</v>
      </c>
      <c r="F31" s="1887" t="str">
        <f>FHD_P_2</f>
        <v>Себестоимость производимых товаров (оказываемых услуг) по регулируемым видам деятельности в сфере холодного водоснабжения, включая:</v>
      </c>
      <c r="G31" s="1885" t="s">
        <v>714</v>
      </c>
      <c r="H31" s="565">
        <f>SUMIF($K33:$K71,$K31,H33:H71)</f>
        <v>0</v>
      </c>
      <c r="I31" s="565">
        <f>SUMIF($K33:$K71,$K31,I33:I71)</f>
        <v>0</v>
      </c>
      <c r="J31" s="296" t="str">
        <f>FHD_NOTE_P_2</f>
        <v>Указывается суммарная себестоимость производимых товаров.</v>
      </c>
      <c r="K31" s="1643" t="s">
        <v>729</v>
      </c>
      <c r="AF31" s="1638">
        <v>11</v>
      </c>
    </row>
    <row customHeight="1" ht="11.549999999999999">
      <c r="D32" s="1645"/>
      <c r="E32" s="553" t="str">
        <f>FHD_NUM_P_3</f>
        <v>2.1</v>
      </c>
      <c r="F32" s="1531" t="str">
        <f>FHD_P_3</f>
        <v>Расходы на оплату холодной воды, приобретаемой у других организаций для последующей подачи потребителям</v>
      </c>
      <c r="G32" s="1885" t="s">
        <v>714</v>
      </c>
      <c r="H32" s="564"/>
      <c r="I32" s="564"/>
      <c r="J32" s="296" t="str">
        <f>FHD_NOTE_P_3</f>
        <v/>
      </c>
      <c r="K32" s="1643" t="str">
        <f>IF((LEN(E32)-LEN(SUBSTITUTE(E32,".","")))/LEN(".")=1,"p","")</f>
        <v>p</v>
      </c>
      <c r="AF32" s="1638">
        <v>11</v>
      </c>
    </row>
    <row customHeight="1" ht="11.25" hidden="1">
      <c r="A33" s="2378" t="s">
        <v>730</v>
      </c>
      <c r="D33" s="1645"/>
      <c r="E33" s="553" t="str">
        <f>FHD_NUM_P_4</f>
        <v/>
      </c>
      <c r="F33" s="1531" t="str">
        <f>FHD_P_4</f>
        <v/>
      </c>
      <c r="G33" s="1885" t="s">
        <v>714</v>
      </c>
      <c r="H33" s="565">
        <f>SUMIF($F34:$F40,$F3,H34:H40)</f>
        <v>0</v>
      </c>
      <c r="I33" s="565">
        <f>SUMIF($F34:$F40,$F3,I34:I40)</f>
        <v>0</v>
      </c>
      <c r="J33" s="296" t="str">
        <f>FHD_NOTE_P_4</f>
        <v/>
      </c>
      <c r="K33" s="1643" t="str">
        <f>IF((LEN(E33)-LEN(SUBSTITUTE(E33,".","")))/LEN(".")=1,"p","")</f>
        <v/>
      </c>
      <c r="AF33" s="1638">
        <v>0</v>
      </c>
    </row>
    <row s="1648" customFormat="1" customHeight="1" ht="0.75" hidden="1">
      <c r="A34" s="2378"/>
      <c r="B34" s="2379" t="str">
        <f>E33&amp;".0"</f>
        <v>.0</v>
      </c>
      <c r="C34" s="1174"/>
      <c r="D34" s="567"/>
      <c r="E34" s="568"/>
      <c r="F34" s="569"/>
      <c r="G34" s="570"/>
      <c r="H34" s="504"/>
      <c r="I34" s="504"/>
      <c r="J34" s="571"/>
      <c r="K34" s="1643" t="str">
        <f>IF((LEN(E34)-LEN(SUBSTITUTE(E34,".","")))/LEN(".")=1,"p","")</f>
        <v/>
      </c>
      <c r="L34" s="1643"/>
      <c r="M34" s="1643"/>
      <c r="N34" s="1643"/>
      <c r="O34" s="1643"/>
      <c r="P34" s="1643"/>
      <c r="Q34" s="1643"/>
      <c r="R34" s="1643"/>
      <c r="S34" s="1643"/>
      <c r="T34" s="1643"/>
      <c r="U34" s="572"/>
      <c r="V34" s="1643"/>
      <c r="W34" s="1643"/>
      <c r="X34" s="1643"/>
      <c r="Y34" s="1643"/>
      <c r="Z34" s="1643"/>
      <c r="AA34" s="573"/>
      <c r="AB34" s="573"/>
      <c r="AC34" s="573"/>
      <c r="AD34" s="573"/>
      <c r="AE34" s="573"/>
      <c r="AF34" s="1648">
        <v>0</v>
      </c>
    </row>
    <row s="1648" customFormat="1" customHeight="1" ht="0.75" hidden="1">
      <c r="A35" s="2378"/>
      <c r="B35" s="2379"/>
      <c r="C35" s="1174"/>
      <c r="D35" s="567"/>
      <c r="E35" s="574"/>
      <c r="F35" s="575"/>
      <c r="G35" s="570"/>
      <c r="H35" s="576"/>
      <c r="I35" s="576"/>
      <c r="J35" s="571"/>
      <c r="K35" s="1643" t="str">
        <f>IF((LEN(E35)-LEN(SUBSTITUTE(E35,".","")))/LEN(".")=1,"p","")</f>
        <v/>
      </c>
      <c r="L35" s="1643"/>
      <c r="M35" s="1643"/>
      <c r="N35" s="1643"/>
      <c r="O35" s="1643"/>
      <c r="P35" s="1643"/>
      <c r="Q35" s="1643"/>
      <c r="R35" s="1643"/>
      <c r="S35" s="1643"/>
      <c r="T35" s="1643"/>
      <c r="U35" s="572"/>
      <c r="V35" s="1643"/>
      <c r="W35" s="1643"/>
      <c r="X35" s="1643"/>
      <c r="Y35" s="1643"/>
      <c r="Z35" s="1643"/>
      <c r="AA35" s="573"/>
      <c r="AB35" s="573"/>
      <c r="AC35" s="573"/>
      <c r="AD35" s="573"/>
      <c r="AE35" s="573"/>
      <c r="AF35" s="1648">
        <v>0</v>
      </c>
    </row>
    <row s="1648" customFormat="1" customHeight="1" ht="0.75" hidden="1">
      <c r="A36" s="2378"/>
      <c r="B36" s="2379"/>
      <c r="C36" s="1174"/>
      <c r="D36" s="567"/>
      <c r="E36" s="574"/>
      <c r="F36" s="575"/>
      <c r="G36" s="570"/>
      <c r="H36" s="576"/>
      <c r="I36" s="576"/>
      <c r="J36" s="571"/>
      <c r="K36" s="1643" t="str">
        <f>IF((LEN(E36)-LEN(SUBSTITUTE(E36,".","")))/LEN(".")=1,"p","")</f>
        <v/>
      </c>
      <c r="L36" s="1643"/>
      <c r="M36" s="1643"/>
      <c r="N36" s="1643"/>
      <c r="O36" s="1643"/>
      <c r="P36" s="1643"/>
      <c r="Q36" s="1643"/>
      <c r="R36" s="1643"/>
      <c r="S36" s="1643"/>
      <c r="T36" s="1643"/>
      <c r="U36" s="572"/>
      <c r="V36" s="1643"/>
      <c r="W36" s="1643"/>
      <c r="X36" s="1643"/>
      <c r="Y36" s="1643"/>
      <c r="Z36" s="1643"/>
      <c r="AA36" s="573"/>
      <c r="AB36" s="573"/>
      <c r="AC36" s="573"/>
      <c r="AD36" s="573"/>
      <c r="AE36" s="573"/>
      <c r="AF36" s="1648">
        <v>0</v>
      </c>
    </row>
    <row s="1648" customFormat="1" customHeight="1" ht="0.75" hidden="1">
      <c r="A37" s="2378"/>
      <c r="B37" s="2379"/>
      <c r="C37" s="1174"/>
      <c r="D37" s="567"/>
      <c r="E37" s="574"/>
      <c r="F37" s="575"/>
      <c r="G37" s="570"/>
      <c r="H37" s="576"/>
      <c r="I37" s="576"/>
      <c r="J37" s="571"/>
      <c r="K37" s="1643" t="str">
        <f>IF((LEN(E37)-LEN(SUBSTITUTE(E37,".","")))/LEN(".")=1,"p","")</f>
        <v/>
      </c>
      <c r="L37" s="1643"/>
      <c r="M37" s="1643"/>
      <c r="N37" s="1643"/>
      <c r="O37" s="1643"/>
      <c r="P37" s="1643"/>
      <c r="Q37" s="1643"/>
      <c r="R37" s="1643"/>
      <c r="S37" s="1643"/>
      <c r="T37" s="1643"/>
      <c r="U37" s="572"/>
      <c r="V37" s="1643"/>
      <c r="W37" s="1643"/>
      <c r="X37" s="1643"/>
      <c r="Y37" s="1643"/>
      <c r="Z37" s="1643"/>
      <c r="AA37" s="573"/>
      <c r="AB37" s="573"/>
      <c r="AC37" s="573"/>
      <c r="AD37" s="573"/>
      <c r="AE37" s="573"/>
      <c r="AF37" s="1648">
        <v>0</v>
      </c>
    </row>
    <row s="1648" customFormat="1" customHeight="1" ht="0.75" hidden="1">
      <c r="A38" s="2378"/>
      <c r="B38" s="2379"/>
      <c r="C38" s="1174"/>
      <c r="D38" s="567"/>
      <c r="E38" s="574"/>
      <c r="F38" s="575"/>
      <c r="G38" s="570"/>
      <c r="H38" s="576"/>
      <c r="I38" s="576"/>
      <c r="J38" s="571"/>
      <c r="K38" s="1643" t="str">
        <f>IF((LEN(E38)-LEN(SUBSTITUTE(E38,".","")))/LEN(".")=1,"p","")</f>
        <v/>
      </c>
      <c r="L38" s="1643"/>
      <c r="M38" s="1643"/>
      <c r="N38" s="1643"/>
      <c r="O38" s="1643"/>
      <c r="P38" s="1643"/>
      <c r="Q38" s="1643"/>
      <c r="R38" s="1643"/>
      <c r="S38" s="1643"/>
      <c r="T38" s="1643"/>
      <c r="U38" s="572"/>
      <c r="V38" s="1643"/>
      <c r="W38" s="1643"/>
      <c r="X38" s="1643"/>
      <c r="Y38" s="1643"/>
      <c r="Z38" s="1643"/>
      <c r="AA38" s="573"/>
      <c r="AB38" s="573"/>
      <c r="AC38" s="573"/>
      <c r="AD38" s="573"/>
      <c r="AE38" s="573"/>
      <c r="AF38" s="1648">
        <v>0</v>
      </c>
    </row>
    <row s="1648" customFormat="1" customHeight="1" ht="0.75" hidden="1">
      <c r="A39" s="2378"/>
      <c r="B39" s="2379"/>
      <c r="C39" s="1174"/>
      <c r="D39" s="567"/>
      <c r="E39" s="574"/>
      <c r="F39" s="575"/>
      <c r="G39" s="570"/>
      <c r="H39" s="504"/>
      <c r="I39" s="504"/>
      <c r="J39" s="571"/>
      <c r="K39" s="1643" t="str">
        <f>IF((LEN(E39)-LEN(SUBSTITUTE(E39,".","")))/LEN(".")=1,"p","")</f>
        <v/>
      </c>
      <c r="L39" s="1643"/>
      <c r="M39" s="1643"/>
      <c r="N39" s="1643"/>
      <c r="O39" s="1643"/>
      <c r="P39" s="1643"/>
      <c r="Q39" s="1643"/>
      <c r="R39" s="1643"/>
      <c r="S39" s="1643"/>
      <c r="T39" s="1643"/>
      <c r="U39" s="572"/>
      <c r="V39" s="1643"/>
      <c r="W39" s="1643"/>
      <c r="X39" s="1643"/>
      <c r="Y39" s="1643"/>
      <c r="Z39" s="1643"/>
      <c r="AA39" s="573"/>
      <c r="AB39" s="573"/>
      <c r="AC39" s="573"/>
      <c r="AD39" s="573"/>
      <c r="AE39" s="573"/>
      <c r="AF39" s="1648">
        <v>0</v>
      </c>
    </row>
    <row s="1373" customFormat="1" customHeight="1" ht="15" hidden="1">
      <c r="A40" s="2378"/>
      <c r="C40" s="1643"/>
      <c r="D40" s="1640"/>
      <c r="E40" s="577"/>
      <c r="F40" s="578" t="s">
        <v>731</v>
      </c>
      <c r="G40" s="579"/>
      <c r="H40" s="580"/>
      <c r="I40" s="580"/>
      <c r="J40" s="308"/>
      <c r="K40" s="1643" t="str">
        <f>IF((LEN(E40)-LEN(SUBSTITUTE(E40,".","")))/LEN(".")=1,"p","")</f>
        <v/>
      </c>
      <c r="L40" s="1643"/>
      <c r="M40" s="1643"/>
      <c r="R40" s="1643"/>
      <c r="U40" s="551"/>
      <c r="AA40" s="1639"/>
      <c r="AB40" s="1639"/>
      <c r="AC40" s="1639"/>
      <c r="AD40" s="1639"/>
      <c r="AE40" s="1639"/>
      <c r="AF40" s="1167">
        <v>0</v>
      </c>
    </row>
    <row customHeight="1" ht="11.25" hidden="1">
      <c r="A41" s="2378" t="s">
        <v>732</v>
      </c>
      <c r="D41" s="1645"/>
      <c r="E41" s="553" t="str">
        <f>FHD_NUM_P_5</f>
        <v/>
      </c>
      <c r="F41" s="1531" t="str">
        <f>FHD_P_5</f>
        <v/>
      </c>
      <c r="G41" s="1885" t="s">
        <v>714</v>
      </c>
      <c r="H41" s="564"/>
      <c r="I41" s="564"/>
      <c r="J41" s="296" t="str">
        <f>FHD_NOTE_P_5</f>
        <v/>
      </c>
      <c r="K41" s="1643" t="str">
        <f>IF((LEN(E41)-LEN(SUBSTITUTE(E41,".","")))/LEN(".")=1,"p","")</f>
        <v/>
      </c>
      <c r="AF41" s="1638">
        <v>0</v>
      </c>
    </row>
    <row customHeight="1" ht="11.25" hidden="1">
      <c r="A42" s="2378"/>
      <c r="D42" s="1645"/>
      <c r="E42" s="553" t="str">
        <f>FHD_NUM_P_6</f>
        <v/>
      </c>
      <c r="F42" s="1531" t="str">
        <f>FHD_P_6</f>
        <v/>
      </c>
      <c r="G42" s="1885" t="s">
        <v>714</v>
      </c>
      <c r="H42" s="564"/>
      <c r="I42" s="564"/>
      <c r="J42" s="296" t="str">
        <f>FHD_NOTE_P_6</f>
        <v/>
      </c>
      <c r="K42" s="1643" t="str">
        <f>IF((LEN(E42)-LEN(SUBSTITUTE(E42,".","")))/LEN(".")=1,"p","")</f>
        <v/>
      </c>
      <c r="AF42" s="1638">
        <v>0</v>
      </c>
    </row>
    <row customHeight="1" ht="11.25" hidden="1">
      <c r="A43" s="2378"/>
      <c r="D43" s="1645"/>
      <c r="E43" s="553" t="str">
        <f>FHD_NUM_P_7</f>
        <v/>
      </c>
      <c r="F43" s="1531" t="str">
        <f>FHD_P_7</f>
        <v/>
      </c>
      <c r="G43" s="1885" t="s">
        <v>714</v>
      </c>
      <c r="H43" s="564"/>
      <c r="I43" s="564"/>
      <c r="J43" s="296" t="str">
        <f>FHD_NOTE_P_7</f>
        <v/>
      </c>
      <c r="K43" s="1643" t="str">
        <f>IF((LEN(E43)-LEN(SUBSTITUTE(E43,".","")))/LEN(".")=1,"p","")</f>
        <v/>
      </c>
      <c r="AF43" s="1638">
        <v>0</v>
      </c>
    </row>
    <row customHeight="1" ht="11.549999999999999">
      <c r="D44" s="1645"/>
      <c r="E44" s="553" t="str">
        <f>FHD_NUM_P_8</f>
        <v>2.2</v>
      </c>
      <c r="F44" s="1531" t="str">
        <f>FHD_P_8</f>
        <v>Расходы на приобретаемую электрическую энергию (мощность), используемую в технологическом процессе</v>
      </c>
      <c r="G44" s="1885" t="s">
        <v>714</v>
      </c>
      <c r="H44" s="564"/>
      <c r="I44" s="564"/>
      <c r="J44" s="296" t="str">
        <f>FHD_NOTE_P_8</f>
        <v/>
      </c>
      <c r="K44" s="1643" t="str">
        <f>IF((LEN(E44)-LEN(SUBSTITUTE(E44,".","")))/LEN(".")=1,"p","")</f>
        <v>p</v>
      </c>
      <c r="AF44" s="1638">
        <v>11</v>
      </c>
    </row>
    <row customHeight="1" ht="11.549999999999999">
      <c r="D45" s="1645"/>
      <c r="E45" s="553" t="str">
        <f>FHD_NUM_P_9</f>
        <v>2.2.1</v>
      </c>
      <c r="F45" s="1657" t="str">
        <f>FHD_P_9</f>
        <v>Средневзвешенная стоимость 1 кВт.ч (с учетом мощности)</v>
      </c>
      <c r="G45" s="1885" t="s">
        <v>733</v>
      </c>
      <c r="H45" s="564"/>
      <c r="I45" s="564"/>
      <c r="J45" s="296" t="str">
        <f>FHD_NOTE_P_9</f>
        <v/>
      </c>
      <c r="K45" s="1643" t="str">
        <f>IF((LEN(E45)-LEN(SUBSTITUTE(E45,".","")))/LEN(".")=1,"p","")</f>
        <v/>
      </c>
      <c r="AF45" s="1638">
        <v>11</v>
      </c>
    </row>
    <row s="1373" customFormat="1" customHeight="1" ht="11.549999999999999">
      <c r="A46" s="994"/>
      <c r="C46" s="1643"/>
      <c r="D46" s="581"/>
      <c r="E46" s="553" t="str">
        <f>FHD_NUM_P_10</f>
        <v>2.2.2</v>
      </c>
      <c r="F46" s="1657" t="str">
        <f>FHD_P_10</f>
        <v>Объём приобретения электрической энергии</v>
      </c>
      <c r="G46" s="1885" t="s">
        <v>734</v>
      </c>
      <c r="H46" s="564"/>
      <c r="I46" s="564"/>
      <c r="J46" s="296" t="str">
        <f>FHD_NOTE_P_10</f>
        <v/>
      </c>
      <c r="K46" s="1643" t="str">
        <f>IF((LEN(E46)-LEN(SUBSTITUTE(E46,".","")))/LEN(".")=1,"p","")</f>
        <v/>
      </c>
      <c r="L46" s="1643"/>
      <c r="M46" s="1643"/>
      <c r="R46" s="1643"/>
      <c r="U46" s="551"/>
      <c r="AA46" s="1639"/>
      <c r="AB46" s="1639"/>
      <c r="AC46" s="1639"/>
      <c r="AD46" s="1639"/>
      <c r="AE46" s="1639"/>
      <c r="AF46" s="1167">
        <v>11</v>
      </c>
    </row>
    <row s="1373" customFormat="1" customHeight="1" ht="11.25" hidden="1">
      <c r="A47" s="996" t="s">
        <v>735</v>
      </c>
      <c r="C47" s="1643"/>
      <c r="D47" s="582"/>
      <c r="E47" s="553" t="str">
        <f>FHD_NUM_P_11</f>
        <v/>
      </c>
      <c r="F47" s="1531" t="str">
        <f>FHD_P_11</f>
        <v/>
      </c>
      <c r="G47" s="1885" t="s">
        <v>714</v>
      </c>
      <c r="H47" s="564"/>
      <c r="I47" s="564"/>
      <c r="J47" s="296" t="str">
        <f>FHD_NOTE_P_11</f>
        <v/>
      </c>
      <c r="K47" s="1643" t="str">
        <f>IF((LEN(E47)-LEN(SUBSTITUTE(E47,".","")))/LEN(".")=1,"p","")</f>
        <v/>
      </c>
      <c r="L47" s="1643"/>
      <c r="M47" s="1643"/>
      <c r="R47" s="1643"/>
      <c r="U47" s="551"/>
      <c r="AA47" s="1639"/>
      <c r="AB47" s="1639"/>
      <c r="AC47" s="1639"/>
      <c r="AD47" s="1639"/>
      <c r="AE47" s="1639"/>
      <c r="AF47" s="1167">
        <v>0</v>
      </c>
    </row>
    <row s="1373" customFormat="1" customHeight="1" ht="18.75">
      <c r="A48" s="996" t="s">
        <v>736</v>
      </c>
      <c r="C48" s="1643"/>
      <c r="D48" s="1645"/>
      <c r="E48" s="553" t="str">
        <f>FHD_NUM_P_12</f>
        <v>2.3</v>
      </c>
      <c r="F48" s="1531" t="str">
        <f>FHD_P_12</f>
        <v>Расходы на химические реагенты, используемые в технологическом процессе</v>
      </c>
      <c r="G48" s="1885" t="s">
        <v>714</v>
      </c>
      <c r="H48" s="584"/>
      <c r="I48" s="584"/>
      <c r="J48" s="296" t="str">
        <f>FHD_NOTE_P_12</f>
        <v/>
      </c>
      <c r="K48" s="1643" t="str">
        <f>IF((LEN(E48)-LEN(SUBSTITUTE(E48,".","")))/LEN(".")=1,"p","")</f>
        <v>p</v>
      </c>
      <c r="L48" s="1643"/>
      <c r="M48" s="1643"/>
      <c r="R48" s="1643"/>
      <c r="U48" s="551"/>
      <c r="AA48" s="1639"/>
      <c r="AB48" s="1639"/>
      <c r="AC48" s="1639"/>
      <c r="AD48" s="1639"/>
      <c r="AE48" s="1639"/>
      <c r="AF48" s="1167">
        <v>18</v>
      </c>
    </row>
    <row s="1372" customFormat="1" customHeight="1" ht="11.549999999999999">
      <c r="A49" s="995"/>
      <c r="C49" s="737"/>
      <c r="D49" s="680"/>
      <c r="E49" s="553" t="str">
        <f>FHD_NUM_P_13</f>
        <v>2.4</v>
      </c>
      <c r="F49" s="1531"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5" t="s">
        <v>714</v>
      </c>
      <c r="H49" s="564"/>
      <c r="I49" s="564"/>
      <c r="J49" s="296" t="str">
        <f>FHD_NOTE_P_13</f>
        <v>Указывается общая сумма расходов на оплату труда и отчислений на социальные нужды основного производственного персонала.</v>
      </c>
      <c r="K49" s="1643" t="str">
        <f>IF((LEN(E49)-LEN(SUBSTITUTE(E49,".","")))/LEN(".")=1,"p","")</f>
        <v>p</v>
      </c>
      <c r="L49" s="737"/>
      <c r="M49" s="737"/>
      <c r="R49" s="737"/>
      <c r="U49" s="738"/>
      <c r="AA49" s="739"/>
      <c r="AB49" s="739"/>
      <c r="AC49" s="739"/>
      <c r="AD49" s="739"/>
      <c r="AE49" s="739"/>
      <c r="AF49" s="736">
        <v>11</v>
      </c>
    </row>
    <row s="1372" customFormat="1" customHeight="1" ht="11.549999999999999">
      <c r="A50" s="995"/>
      <c r="C50" s="737"/>
      <c r="D50" s="680"/>
      <c r="E50" s="553" t="str">
        <f>FHD_NUM_P_14</f>
        <v>2.4.1</v>
      </c>
      <c r="F50" s="1657" t="str">
        <f>FHD_P_14</f>
        <v>Расходы на оплату труда основного производственного персонала</v>
      </c>
      <c r="G50" s="1885" t="s">
        <v>714</v>
      </c>
      <c r="H50" s="564"/>
      <c r="I50" s="564"/>
      <c r="J50" s="296" t="str">
        <f>FHD_NOTE_P_14</f>
        <v/>
      </c>
      <c r="K50" s="1643" t="str">
        <f>IF((LEN(E50)-LEN(SUBSTITUTE(E50,".","")))/LEN(".")=1,"p","")</f>
        <v/>
      </c>
      <c r="L50" s="737"/>
      <c r="M50" s="737"/>
      <c r="R50" s="737"/>
      <c r="U50" s="738"/>
      <c r="AA50" s="739"/>
      <c r="AB50" s="739"/>
      <c r="AC50" s="739"/>
      <c r="AD50" s="739"/>
      <c r="AE50" s="739"/>
      <c r="AF50" s="736">
        <v>11</v>
      </c>
    </row>
    <row s="1372" customFormat="1" customHeight="1" ht="11.549999999999999">
      <c r="A51" s="995"/>
      <c r="C51" s="737"/>
      <c r="D51" s="680"/>
      <c r="E51" s="553" t="str">
        <f>FHD_NUM_P_15</f>
        <v>2.4.2</v>
      </c>
      <c r="F51" s="1657" t="str">
        <f>FHD_P_15</f>
        <v>Страховые взносы на обязательное социальное страхование, выплачиваемые из фонда оплаты труда основного производственного персонала</v>
      </c>
      <c r="G51" s="1885" t="s">
        <v>714</v>
      </c>
      <c r="H51" s="564"/>
      <c r="I51" s="564"/>
      <c r="J51" s="296" t="str">
        <f>FHD_NOTE_P_15</f>
        <v/>
      </c>
      <c r="K51" s="1643" t="str">
        <f>IF((LEN(E51)-LEN(SUBSTITUTE(E51,".","")))/LEN(".")=1,"p","")</f>
        <v/>
      </c>
      <c r="L51" s="737"/>
      <c r="M51" s="737"/>
      <c r="R51" s="737"/>
      <c r="U51" s="738"/>
      <c r="AA51" s="739"/>
      <c r="AB51" s="739"/>
      <c r="AC51" s="739"/>
      <c r="AD51" s="739"/>
      <c r="AE51" s="739"/>
      <c r="AF51" s="736">
        <v>11</v>
      </c>
    </row>
    <row s="1373" customFormat="1" customHeight="1" ht="11.549999999999999">
      <c r="A52" s="994"/>
      <c r="C52" s="1643"/>
      <c r="D52" s="1645"/>
      <c r="E52" s="553" t="str">
        <f>FHD_NUM_P_16</f>
        <v>2.5</v>
      </c>
      <c r="F52" s="1531"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5" t="s">
        <v>714</v>
      </c>
      <c r="H52" s="564"/>
      <c r="I52" s="564"/>
      <c r="J52" s="296" t="str">
        <f>FHD_NOTE_P_16</f>
        <v>Указывается общая сумма расходов на оплату труда и отчислений на социальные нужды административно-управленческого персонала.</v>
      </c>
      <c r="K52" s="1643" t="str">
        <f>IF((LEN(E52)-LEN(SUBSTITUTE(E52,".","")))/LEN(".")=1,"p","")</f>
        <v>p</v>
      </c>
      <c r="L52" s="1643"/>
      <c r="M52" s="1649"/>
      <c r="N52" s="544"/>
      <c r="O52" s="544"/>
      <c r="R52" s="1643"/>
      <c r="U52" s="551"/>
      <c r="AA52" s="1639"/>
      <c r="AB52" s="1639"/>
      <c r="AC52" s="1639"/>
      <c r="AD52" s="1639"/>
      <c r="AE52" s="1639"/>
      <c r="AF52" s="1167">
        <v>11</v>
      </c>
    </row>
    <row s="1373" customFormat="1" customHeight="1" ht="11.549999999999999">
      <c r="A53" s="994"/>
      <c r="C53" s="1643"/>
      <c r="D53" s="1645"/>
      <c r="E53" s="553" t="str">
        <f>FHD_NUM_P_17</f>
        <v>2.5.1</v>
      </c>
      <c r="F53" s="1657" t="str">
        <f>FHD_P_17</f>
        <v>Расходы на оплату труда административно-управленческого персонала</v>
      </c>
      <c r="G53" s="1885" t="s">
        <v>714</v>
      </c>
      <c r="H53" s="564"/>
      <c r="I53" s="564"/>
      <c r="J53" s="296" t="str">
        <f>FHD_NOTE_P_17</f>
        <v/>
      </c>
      <c r="K53" s="1643" t="str">
        <f>IF((LEN(E53)-LEN(SUBSTITUTE(E53,".","")))/LEN(".")=1,"p","")</f>
        <v/>
      </c>
      <c r="L53" s="1643"/>
      <c r="M53" s="1649"/>
      <c r="N53" s="544"/>
      <c r="O53" s="544"/>
      <c r="R53" s="1643"/>
      <c r="U53" s="551"/>
      <c r="AA53" s="1639"/>
      <c r="AB53" s="1639"/>
      <c r="AC53" s="1639"/>
      <c r="AD53" s="1639"/>
      <c r="AE53" s="1639"/>
      <c r="AF53" s="1167">
        <v>11</v>
      </c>
    </row>
    <row s="1373" customFormat="1" customHeight="1" ht="11.549999999999999">
      <c r="A54" s="994"/>
      <c r="C54" s="1643"/>
      <c r="D54" s="1645"/>
      <c r="E54" s="553" t="str">
        <f>FHD_NUM_P_18</f>
        <v>2.5.2</v>
      </c>
      <c r="F54" s="1657"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5" t="s">
        <v>714</v>
      </c>
      <c r="H54" s="564"/>
      <c r="I54" s="564"/>
      <c r="J54" s="296" t="str">
        <f>FHD_NOTE_P_18</f>
        <v/>
      </c>
      <c r="K54" s="1643" t="str">
        <f>IF((LEN(E54)-LEN(SUBSTITUTE(E54,".","")))/LEN(".")=1,"p","")</f>
        <v/>
      </c>
      <c r="L54" s="1643"/>
      <c r="M54" s="1649"/>
      <c r="N54" s="544"/>
      <c r="O54" s="544"/>
      <c r="R54" s="1643"/>
      <c r="U54" s="551"/>
      <c r="AA54" s="1639"/>
      <c r="AB54" s="1639"/>
      <c r="AC54" s="1639"/>
      <c r="AD54" s="1639"/>
      <c r="AE54" s="1639"/>
      <c r="AF54" s="1167">
        <v>11</v>
      </c>
    </row>
    <row s="1373" customFormat="1" customHeight="1" ht="11.549999999999999">
      <c r="A55" s="994"/>
      <c r="C55" s="1643"/>
      <c r="D55" s="582"/>
      <c r="E55" s="553" t="str">
        <f>FHD_NUM_P_19</f>
        <v>2.6</v>
      </c>
      <c r="F55" s="1531" t="str">
        <f>FHD_P_19</f>
        <v>Расходы на амортизацию основных средств и нематериальных активов</v>
      </c>
      <c r="G55" s="1885" t="s">
        <v>714</v>
      </c>
      <c r="H55" s="564"/>
      <c r="I55" s="564"/>
      <c r="J55" s="296" t="str">
        <f>FHD_NOTE_P_19</f>
        <v/>
      </c>
      <c r="K55" s="1643" t="str">
        <f>IF((LEN(E55)-LEN(SUBSTITUTE(E55,".","")))/LEN(".")=1,"p","")</f>
        <v>p</v>
      </c>
      <c r="L55" s="1643"/>
      <c r="M55" s="1643"/>
      <c r="R55" s="1643"/>
      <c r="U55" s="551"/>
      <c r="AA55" s="1639"/>
      <c r="AB55" s="1639"/>
      <c r="AC55" s="1639"/>
      <c r="AD55" s="1639"/>
      <c r="AE55" s="1639"/>
      <c r="AF55" s="1167">
        <v>11</v>
      </c>
    </row>
    <row s="1373" customFormat="1" customHeight="1" ht="11.549999999999999">
      <c r="A56" s="994"/>
      <c r="C56" s="1643"/>
      <c r="D56" s="582"/>
      <c r="E56" s="553" t="str">
        <f>FHD_NUM_P_20</f>
        <v>2.6.1</v>
      </c>
      <c r="F56" s="1657" t="str">
        <f>FHD_P_20</f>
        <v>Расходы на амортизацию основных средств</v>
      </c>
      <c r="G56" s="1885" t="s">
        <v>714</v>
      </c>
      <c r="H56" s="564"/>
      <c r="I56" s="564"/>
      <c r="J56" s="296" t="str">
        <f>FHD_NOTE_P_20</f>
        <v/>
      </c>
      <c r="K56" s="1643" t="str">
        <f>IF((LEN(E56)-LEN(SUBSTITUTE(E56,".","")))/LEN(".")=1,"p","")</f>
        <v/>
      </c>
      <c r="L56" s="1643"/>
      <c r="M56" s="1643"/>
      <c r="R56" s="1643"/>
      <c r="U56" s="551"/>
      <c r="AA56" s="1639"/>
      <c r="AB56" s="1639"/>
      <c r="AC56" s="1639"/>
      <c r="AD56" s="1639"/>
      <c r="AE56" s="1639"/>
      <c r="AF56" s="1167">
        <v>11</v>
      </c>
    </row>
    <row s="1373" customFormat="1" customHeight="1" ht="11.549999999999999">
      <c r="A57" s="994"/>
      <c r="C57" s="1643"/>
      <c r="D57" s="582"/>
      <c r="E57" s="553" t="str">
        <f>FHD_NUM_P_21</f>
        <v>2.6.2</v>
      </c>
      <c r="F57" s="1657" t="str">
        <f>FHD_P_21</f>
        <v>Расходы на амортизацию нематериальных активов</v>
      </c>
      <c r="G57" s="1885" t="s">
        <v>714</v>
      </c>
      <c r="H57" s="564"/>
      <c r="I57" s="564"/>
      <c r="J57" s="296" t="str">
        <f>FHD_NOTE_P_21</f>
        <v/>
      </c>
      <c r="K57" s="1643" t="str">
        <f>IF((LEN(E57)-LEN(SUBSTITUTE(E57,".","")))/LEN(".")=1,"p","")</f>
        <v/>
      </c>
      <c r="L57" s="1643"/>
      <c r="M57" s="1643"/>
      <c r="R57" s="1643"/>
      <c r="U57" s="551"/>
      <c r="AA57" s="1639"/>
      <c r="AB57" s="1639"/>
      <c r="AC57" s="1639"/>
      <c r="AD57" s="1639"/>
      <c r="AE57" s="1639"/>
      <c r="AF57" s="1167">
        <v>11</v>
      </c>
    </row>
    <row s="1373" customFormat="1" customHeight="1" ht="11.549999999999999">
      <c r="A58" s="994"/>
      <c r="C58" s="1643"/>
      <c r="D58" s="1645"/>
      <c r="E58" s="553" t="str">
        <f>FHD_NUM_P_22</f>
        <v>2.7</v>
      </c>
      <c r="F58" s="1531" t="str">
        <f>FHD_P_22</f>
        <v>Расходы на аренду имущества, используемого для осуществления регулируемых видов деятельности в сфере холодного водоснабжения</v>
      </c>
      <c r="G58" s="1885" t="s">
        <v>714</v>
      </c>
      <c r="H58" s="564"/>
      <c r="I58" s="564"/>
      <c r="J58" s="296" t="str">
        <f>FHD_NOTE_P_22</f>
        <v/>
      </c>
      <c r="K58" s="1643" t="str">
        <f>IF((LEN(E58)-LEN(SUBSTITUTE(E58,".","")))/LEN(".")=1,"p","")</f>
        <v>p</v>
      </c>
      <c r="L58" s="1643"/>
      <c r="M58" s="1643"/>
      <c r="R58" s="1643"/>
      <c r="U58" s="551"/>
      <c r="AA58" s="1639"/>
      <c r="AB58" s="1639"/>
      <c r="AC58" s="1639"/>
      <c r="AD58" s="1639"/>
      <c r="AE58" s="1639"/>
      <c r="AF58" s="1167">
        <v>11</v>
      </c>
    </row>
    <row s="1373" customFormat="1" customHeight="1" ht="11.549999999999999">
      <c r="A59" s="994"/>
      <c r="C59" s="1643"/>
      <c r="D59" s="582"/>
      <c r="E59" s="553" t="str">
        <f>FHD_NUM_P_23</f>
        <v>2.8</v>
      </c>
      <c r="F59" s="1531" t="str">
        <f>FHD_P_23</f>
        <v>Общепроизводственные расходы, в том числе:</v>
      </c>
      <c r="G59" s="1885" t="s">
        <v>714</v>
      </c>
      <c r="H59" s="564"/>
      <c r="I59" s="564"/>
      <c r="J59" s="296" t="str">
        <f>FHD_NOTE_P_23</f>
        <v>Указывается общая сумма общепроизводственных расходов.</v>
      </c>
      <c r="K59" s="1643" t="str">
        <f>IF((LEN(E59)-LEN(SUBSTITUTE(E59,".","")))/LEN(".")=1,"p","")</f>
        <v>p</v>
      </c>
      <c r="L59" s="1643"/>
      <c r="M59" s="1643"/>
      <c r="R59" s="1643"/>
      <c r="U59" s="551"/>
      <c r="AA59" s="1639"/>
      <c r="AB59" s="1639"/>
      <c r="AC59" s="1639"/>
      <c r="AD59" s="1639"/>
      <c r="AE59" s="1639"/>
      <c r="AF59" s="1167">
        <v>11</v>
      </c>
    </row>
    <row s="1373" customFormat="1" customHeight="1" ht="11.549999999999999">
      <c r="A60" s="994"/>
      <c r="C60" s="1643"/>
      <c r="D60" s="582"/>
      <c r="E60" s="553" t="str">
        <f>FHD_NUM_P_24</f>
        <v>2.8.1</v>
      </c>
      <c r="F60" s="1657" t="str">
        <f>FHD_P_24</f>
        <v>Расходы на текущий ремонт</v>
      </c>
      <c r="G60" s="1885" t="s">
        <v>714</v>
      </c>
      <c r="H60" s="564"/>
      <c r="I60" s="564"/>
      <c r="J60" s="296" t="str">
        <f>FHD_NOTE_P_24</f>
        <v>Указываются расходы на текущий ремонт, отнесенные к общепроизводственным расходам.</v>
      </c>
      <c r="K60" s="1643" t="str">
        <f>IF((LEN(E60)-LEN(SUBSTITUTE(E60,".","")))/LEN(".")=1,"p","")</f>
        <v/>
      </c>
      <c r="L60" s="1643"/>
      <c r="M60" s="1643"/>
      <c r="R60" s="1643"/>
      <c r="U60" s="551"/>
      <c r="AA60" s="1639"/>
      <c r="AB60" s="1639"/>
      <c r="AC60" s="1639"/>
      <c r="AD60" s="1639"/>
      <c r="AE60" s="1639"/>
      <c r="AF60" s="1167">
        <v>11</v>
      </c>
    </row>
    <row s="1373" customFormat="1" customHeight="1" ht="11.549999999999999">
      <c r="A61" s="994"/>
      <c r="C61" s="1643"/>
      <c r="D61" s="582"/>
      <c r="E61" s="553" t="str">
        <f>FHD_NUM_P_25</f>
        <v>2.8.2</v>
      </c>
      <c r="F61" s="1657" t="str">
        <f>FHD_P_25</f>
        <v>Расходы на капитальный ремонт</v>
      </c>
      <c r="G61" s="1885" t="s">
        <v>714</v>
      </c>
      <c r="H61" s="564"/>
      <c r="I61" s="564"/>
      <c r="J61" s="296" t="str">
        <f>FHD_NOTE_P_25</f>
        <v>Указываются расходы на капитальный ремонт, отнесенные к общепроизводственным расходам.</v>
      </c>
      <c r="K61" s="1643" t="str">
        <f>IF((LEN(E61)-LEN(SUBSTITUTE(E61,".","")))/LEN(".")=1,"p","")</f>
        <v/>
      </c>
      <c r="L61" s="1643"/>
      <c r="M61" s="1643"/>
      <c r="R61" s="1643"/>
      <c r="U61" s="551"/>
      <c r="AA61" s="1639"/>
      <c r="AB61" s="1639"/>
      <c r="AC61" s="1639"/>
      <c r="AD61" s="1639"/>
      <c r="AE61" s="1639"/>
      <c r="AF61" s="1167">
        <v>11</v>
      </c>
    </row>
    <row s="1373" customFormat="1" customHeight="1" ht="11.549999999999999">
      <c r="A62" s="994"/>
      <c r="C62" s="1643"/>
      <c r="D62" s="1645"/>
      <c r="E62" s="553" t="str">
        <f>FHD_NUM_P_26</f>
        <v>2.9</v>
      </c>
      <c r="F62" s="1531" t="str">
        <f>FHD_P_26</f>
        <v>Общехозяйственные расходы, в том числе:</v>
      </c>
      <c r="G62" s="1885" t="s">
        <v>714</v>
      </c>
      <c r="H62" s="564"/>
      <c r="I62" s="564"/>
      <c r="J62" s="296" t="str">
        <f>FHD_NOTE_P_26</f>
        <v>Указывается общая сумма общехозяйственных расходов.</v>
      </c>
      <c r="K62" s="1643" t="str">
        <f>IF((LEN(E62)-LEN(SUBSTITUTE(E62,".","")))/LEN(".")=1,"p","")</f>
        <v>p</v>
      </c>
      <c r="L62" s="1643"/>
      <c r="M62" s="1643"/>
      <c r="R62" s="1643"/>
      <c r="U62" s="551"/>
      <c r="AA62" s="1639"/>
      <c r="AB62" s="1639"/>
      <c r="AC62" s="1639"/>
      <c r="AD62" s="1639"/>
      <c r="AE62" s="1639"/>
      <c r="AF62" s="1167">
        <v>11</v>
      </c>
    </row>
    <row s="1373" customFormat="1" customHeight="1" ht="11.549999999999999">
      <c r="A63" s="994"/>
      <c r="C63" s="1643"/>
      <c r="D63" s="1645"/>
      <c r="E63" s="553" t="str">
        <f>FHD_NUM_P_27</f>
        <v>2.9.1</v>
      </c>
      <c r="F63" s="1657" t="str">
        <f>FHD_P_27</f>
        <v>Расходы на текущий ремонт</v>
      </c>
      <c r="G63" s="1885" t="s">
        <v>714</v>
      </c>
      <c r="H63" s="564"/>
      <c r="I63" s="564"/>
      <c r="J63" s="296" t="str">
        <f>FHD_NOTE_P_27</f>
        <v>Указываются расходы на текущий ремонт, отнесенные к общехозяйственным расходам.</v>
      </c>
      <c r="K63" s="1643" t="str">
        <f>IF((LEN(E63)-LEN(SUBSTITUTE(E63,".","")))/LEN(".")=1,"p","")</f>
        <v/>
      </c>
      <c r="L63" s="1643"/>
      <c r="M63" s="1643"/>
      <c r="R63" s="1643"/>
      <c r="U63" s="551"/>
      <c r="AA63" s="1639"/>
      <c r="AB63" s="1639"/>
      <c r="AC63" s="1639"/>
      <c r="AD63" s="1639"/>
      <c r="AE63" s="1639"/>
      <c r="AF63" s="1167">
        <v>11</v>
      </c>
    </row>
    <row s="1373" customFormat="1" customHeight="1" ht="11.549999999999999">
      <c r="A64" s="994"/>
      <c r="C64" s="1643"/>
      <c r="D64" s="1645"/>
      <c r="E64" s="553" t="str">
        <f>FHD_NUM_P_28</f>
        <v>2.9.2</v>
      </c>
      <c r="F64" s="1657" t="str">
        <f>FHD_P_28</f>
        <v>Расходы на капитальный ремонт</v>
      </c>
      <c r="G64" s="1885" t="s">
        <v>714</v>
      </c>
      <c r="H64" s="564"/>
      <c r="I64" s="564"/>
      <c r="J64" s="296" t="str">
        <f>FHD_NOTE_P_28</f>
        <v>Указываются расходы на капитальный ремонт, отнесенные к общехозяйственным расходам.</v>
      </c>
      <c r="K64" s="1643" t="str">
        <f>IF((LEN(E64)-LEN(SUBSTITUTE(E64,".","")))/LEN(".")=1,"p","")</f>
        <v/>
      </c>
      <c r="L64" s="1643"/>
      <c r="M64" s="1643"/>
      <c r="R64" s="1643"/>
      <c r="U64" s="551"/>
      <c r="AA64" s="1639"/>
      <c r="AB64" s="1639"/>
      <c r="AC64" s="1639"/>
      <c r="AD64" s="1639"/>
      <c r="AE64" s="1639"/>
      <c r="AF64" s="1167">
        <v>11</v>
      </c>
    </row>
    <row s="1373" customFormat="1" customHeight="1" ht="11.549999999999999">
      <c r="A65" s="994"/>
      <c r="C65" s="1643"/>
      <c r="D65" s="1645"/>
      <c r="E65" s="553" t="str">
        <f>FHD_NUM_P_29</f>
        <v>2.10</v>
      </c>
      <c r="F65" s="1531" t="str">
        <f>FHD_P_29</f>
        <v>Расходы на капитальный и текущий ремонт основных средств</v>
      </c>
      <c r="G65" s="1885" t="s">
        <v>714</v>
      </c>
      <c r="H65" s="564"/>
      <c r="I65" s="564"/>
      <c r="J65" s="296"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43" t="str">
        <f>IF((LEN(E65)-LEN(SUBSTITUTE(E65,".","")))/LEN(".")=1,"p","")</f>
        <v>p</v>
      </c>
      <c r="L65" s="1643"/>
      <c r="M65" s="1643"/>
      <c r="R65" s="1643"/>
      <c r="U65" s="551"/>
      <c r="AA65" s="1639"/>
      <c r="AB65" s="1639"/>
      <c r="AC65" s="1639"/>
      <c r="AD65" s="1639"/>
      <c r="AE65" s="1639"/>
      <c r="AF65" s="1167">
        <v>11</v>
      </c>
    </row>
    <row s="1373" customFormat="1" customHeight="1" ht="11.549999999999999">
      <c r="A66" s="994"/>
      <c r="C66" s="1643"/>
      <c r="D66" s="1645"/>
      <c r="E66" s="553" t="str">
        <f>FHD_NUM_P_30</f>
        <v>2.10.1</v>
      </c>
      <c r="F66" s="1657"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5" t="s">
        <v>469</v>
      </c>
      <c r="H66" s="1656" t="s">
        <v>737</v>
      </c>
      <c r="I66" s="1656" t="s">
        <v>737</v>
      </c>
      <c r="J66" s="296" t="str">
        <f>FHD_NOTE_P_30</f>
        <v/>
      </c>
      <c r="K66" s="1643" t="str">
        <f>IF((LEN(E66)-LEN(SUBSTITUTE(E66,".","")))/LEN(".")=1,"p","")</f>
        <v/>
      </c>
      <c r="L66" s="1643">
        <f>_xlfn.IFERROR(MATCH("есть",B_FHD_FLAG_INDEX_1,0),0)</f>
        <v>0</v>
      </c>
      <c r="M66" s="1643"/>
      <c r="R66" s="1643"/>
      <c r="U66" s="551"/>
      <c r="AA66" s="1639"/>
      <c r="AB66" s="1639"/>
      <c r="AC66" s="1639"/>
      <c r="AD66" s="1639"/>
      <c r="AE66" s="1639"/>
      <c r="AF66" s="1167">
        <v>11</v>
      </c>
    </row>
    <row s="1373" customFormat="1" customHeight="1" ht="23.25">
      <c r="A67" s="2378" t="s">
        <v>738</v>
      </c>
      <c r="C67" s="1643"/>
      <c r="D67" s="1645"/>
      <c r="E67" s="553" t="str">
        <f>FHD_NUM_P_31</f>
        <v>2.11</v>
      </c>
      <c r="F67" s="1531"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85" t="s">
        <v>714</v>
      </c>
      <c r="H67" s="564"/>
      <c r="I67" s="564"/>
      <c r="J67" s="296"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43" t="str">
        <f>IF((LEN(E67)-LEN(SUBSTITUTE(E67,".","")))/LEN(".")=1,"p","")</f>
        <v>p</v>
      </c>
      <c r="L67" s="1643"/>
      <c r="M67" s="1643"/>
      <c r="R67" s="1643"/>
      <c r="U67" s="551"/>
      <c r="AA67" s="1639"/>
      <c r="AB67" s="1639"/>
      <c r="AC67" s="1639"/>
      <c r="AD67" s="1639"/>
      <c r="AE67" s="1639"/>
      <c r="AF67" s="1167">
        <v>22</v>
      </c>
    </row>
    <row s="1373" customFormat="1" customHeight="1" ht="47.25">
      <c r="A68" s="2378"/>
      <c r="C68" s="1643"/>
      <c r="D68" s="1645"/>
      <c r="E68" s="553" t="str">
        <f>FHD_NUM_P_32</f>
        <v>2.11.1</v>
      </c>
      <c r="F68" s="1657"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5" t="s">
        <v>469</v>
      </c>
      <c r="H68" s="1656" t="s">
        <v>737</v>
      </c>
      <c r="I68" s="1656" t="s">
        <v>737</v>
      </c>
      <c r="J68" s="296" t="str">
        <f>FHD_NOTE_P_32</f>
        <v/>
      </c>
      <c r="K68" s="1643" t="str">
        <f>IF((LEN(E68)-LEN(SUBSTITUTE(E68,".","")))/LEN(".")=1,"p","")</f>
        <v/>
      </c>
      <c r="L68" s="1643">
        <f>_xlfn.IFERROR(MATCH("есть",B_FHD_FLAG_INDEX_2,0),0)</f>
        <v>0</v>
      </c>
      <c r="M68" s="1643"/>
      <c r="R68" s="1643"/>
      <c r="U68" s="551"/>
      <c r="AA68" s="1639"/>
      <c r="AB68" s="1639"/>
      <c r="AC68" s="1639"/>
      <c r="AD68" s="1639"/>
      <c r="AE68" s="1639"/>
      <c r="AF68" s="1167">
        <v>45</v>
      </c>
    </row>
    <row s="1373" customFormat="1" customHeight="1" ht="11.549999999999999">
      <c r="A69" s="994"/>
      <c r="C69" s="1643"/>
      <c r="D69" s="1645"/>
      <c r="E69" s="553" t="str">
        <f>FHD_NUM_P_33</f>
        <v>2.12</v>
      </c>
      <c r="F69" s="1531"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6" t="s">
        <v>714</v>
      </c>
      <c r="H69" s="586">
        <f>SUM(H70:H71)</f>
        <v>0</v>
      </c>
      <c r="I69" s="586">
        <f>SUM(I70:I71)</f>
        <v>0</v>
      </c>
      <c r="J69" s="296"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43" t="str">
        <f>IF((LEN(E69)-LEN(SUBSTITUTE(E69,".","")))/LEN(".")=1,"p","")</f>
        <v>p</v>
      </c>
      <c r="L69" s="1643"/>
      <c r="M69" s="1643"/>
      <c r="R69" s="1643"/>
      <c r="U69" s="551"/>
      <c r="AA69" s="1639"/>
      <c r="AB69" s="1639"/>
      <c r="AC69" s="1639"/>
      <c r="AD69" s="1639"/>
      <c r="AE69" s="1639"/>
      <c r="AF69" s="1167">
        <v>11</v>
      </c>
    </row>
    <row s="1649" customFormat="1" customHeight="1" ht="1.05">
      <c r="A70" s="1174"/>
      <c r="D70" s="555"/>
      <c r="E70" s="1020" t="str">
        <f>E69&amp;".0"</f>
        <v>2.12.0</v>
      </c>
      <c r="F70" s="998"/>
      <c r="G70" s="1020"/>
      <c r="H70" s="999"/>
      <c r="I70" s="999"/>
      <c r="J70" s="1000"/>
      <c r="K70" s="1643" t="str">
        <f>IF((LEN(E70)-LEN(SUBSTITUTE(E70,".","")))/LEN(".")=1,"p","")</f>
        <v/>
      </c>
      <c r="AF70" s="1643">
        <v>1</v>
      </c>
    </row>
    <row s="1373" customFormat="1" customHeight="1" ht="14.699999999999998">
      <c r="A71" s="994"/>
      <c r="C71" s="1643"/>
      <c r="D71" s="1640"/>
      <c r="E71" s="577"/>
      <c r="F71" s="578" t="s">
        <v>739</v>
      </c>
      <c r="G71" s="579"/>
      <c r="H71" s="580"/>
      <c r="I71" s="580"/>
      <c r="J71" s="308"/>
      <c r="K71" s="1643"/>
      <c r="L71" s="1643"/>
      <c r="M71" s="1643"/>
      <c r="R71" s="1643"/>
      <c r="U71" s="551"/>
      <c r="AA71" s="1639"/>
      <c r="AB71" s="1639"/>
      <c r="AC71" s="1639"/>
      <c r="AD71" s="1639"/>
      <c r="AE71" s="1639"/>
      <c r="AF71" s="1167">
        <v>14</v>
      </c>
    </row>
    <row s="1373" customFormat="1" customHeight="1" ht="18.75" hidden="1">
      <c r="A72" s="996" t="s">
        <v>740</v>
      </c>
      <c r="C72" s="1643"/>
      <c r="D72" s="1645"/>
      <c r="E72" s="553" t="str">
        <f>FHD_NUM_P_34</f>
        <v/>
      </c>
      <c r="F72" s="1887" t="str">
        <f>FHD_P_34</f>
        <v/>
      </c>
      <c r="G72" s="1885" t="s">
        <v>714</v>
      </c>
      <c r="H72" s="564"/>
      <c r="I72" s="564"/>
      <c r="J72" s="296" t="str">
        <f>FHD_NOTE_P_34</f>
        <v/>
      </c>
      <c r="K72" s="550"/>
      <c r="L72" s="1643"/>
      <c r="M72" s="1643"/>
      <c r="R72" s="1643"/>
      <c r="U72" s="551"/>
      <c r="AA72" s="1639"/>
      <c r="AB72" s="1639"/>
      <c r="AC72" s="1639"/>
      <c r="AD72" s="1639"/>
      <c r="AE72" s="1639"/>
      <c r="AF72" s="1167">
        <v>0</v>
      </c>
    </row>
    <row s="1373" customFormat="1" customHeight="1" ht="19.95">
      <c r="A73" s="994"/>
      <c r="C73" s="1643"/>
      <c r="D73" s="582"/>
      <c r="E73" s="553" t="str">
        <f>FHD_NUM_P_35</f>
        <v>3</v>
      </c>
      <c r="F73" s="1887" t="str">
        <f>FHD_P_35</f>
        <v>Чистая прибыль, полученная от регулируемого вида деятельности в сфере холодного водоснабжения, в том числе:</v>
      </c>
      <c r="G73" s="1885" t="s">
        <v>714</v>
      </c>
      <c r="H73" s="564"/>
      <c r="I73" s="564"/>
      <c r="J73" s="296" t="str">
        <f>FHD_NOTE_P_35</f>
        <v>Указывается общая сумма чистой прибыли, полученной от регулируемого вида деятельности.</v>
      </c>
      <c r="K73" s="550"/>
      <c r="L73" s="1643"/>
      <c r="M73" s="1643"/>
      <c r="R73" s="1643"/>
      <c r="U73" s="551"/>
      <c r="AA73" s="1639"/>
      <c r="AB73" s="1639"/>
      <c r="AC73" s="1639"/>
      <c r="AD73" s="1639"/>
      <c r="AE73" s="1639"/>
      <c r="AF73" s="1167">
        <v>19</v>
      </c>
    </row>
    <row s="1373" customFormat="1" customHeight="1" ht="19.95">
      <c r="A74" s="994"/>
      <c r="C74" s="1643"/>
      <c r="D74" s="1645"/>
      <c r="E74" s="553" t="str">
        <f>FHD_NUM_P_36</f>
        <v>3.1</v>
      </c>
      <c r="F74" s="1531"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5" t="s">
        <v>714</v>
      </c>
      <c r="H74" s="564"/>
      <c r="I74" s="564"/>
      <c r="J74" s="296" t="str">
        <f>FHD_NOTE_P_36</f>
        <v/>
      </c>
      <c r="K74" s="550"/>
      <c r="L74" s="1643"/>
      <c r="M74" s="1643"/>
      <c r="R74" s="1643"/>
      <c r="U74" s="551"/>
      <c r="AA74" s="1639"/>
      <c r="AB74" s="1639"/>
      <c r="AC74" s="1639"/>
      <c r="AD74" s="1639"/>
      <c r="AE74" s="1639"/>
      <c r="AF74" s="1167">
        <v>19</v>
      </c>
    </row>
    <row s="1373" customFormat="1" customHeight="1" ht="19.95">
      <c r="A75" s="994"/>
      <c r="C75" s="1643"/>
      <c r="D75" s="1645"/>
      <c r="E75" s="553" t="str">
        <f>FHD_NUM_P_37</f>
        <v>4</v>
      </c>
      <c r="F75" s="1887" t="str">
        <f>FHD_P_37</f>
        <v>Изменение стоимости основных фондов, в том числе:</v>
      </c>
      <c r="G75" s="1885" t="s">
        <v>714</v>
      </c>
      <c r="H75" s="564"/>
      <c r="I75" s="564"/>
      <c r="J75" s="296" t="str">
        <f>FHD_NOTE_P_37</f>
        <v>Указывается общее изменение стоимости основных фондов.</v>
      </c>
      <c r="K75" s="550"/>
      <c r="L75" s="1643"/>
      <c r="M75" s="1643"/>
      <c r="R75" s="1643"/>
      <c r="U75" s="551"/>
      <c r="AA75" s="1639"/>
      <c r="AB75" s="1639"/>
      <c r="AC75" s="1639"/>
      <c r="AD75" s="1639"/>
      <c r="AE75" s="1639"/>
      <c r="AF75" s="1167">
        <v>19</v>
      </c>
    </row>
    <row s="1373" customFormat="1" customHeight="1" ht="19.95">
      <c r="A76" s="994"/>
      <c r="C76" s="1643"/>
      <c r="D76" s="1645"/>
      <c r="E76" s="553" t="str">
        <f>FHD_NUM_P_38</f>
        <v>4.1</v>
      </c>
      <c r="F76" s="1531" t="str">
        <f>FHD_P_38</f>
        <v>Изменение стоимости основных фондов за счет их ввода в эксплуатацию (вывода из эксплуатации)</v>
      </c>
      <c r="G76" s="1885" t="s">
        <v>714</v>
      </c>
      <c r="H76" s="564"/>
      <c r="I76" s="564"/>
      <c r="J76" s="296" t="str">
        <f>FHD_NOTE_P_38</f>
        <v>Указываются общее изменение стоимости основных фондов за счет их ввода в эксплуатацию и вывода из эксплуатации.</v>
      </c>
      <c r="K76" s="550"/>
      <c r="L76" s="1643"/>
      <c r="M76" s="1643"/>
      <c r="R76" s="1643"/>
      <c r="U76" s="551"/>
      <c r="AA76" s="1639"/>
      <c r="AB76" s="1639"/>
      <c r="AC76" s="1639"/>
      <c r="AD76" s="1639"/>
      <c r="AE76" s="1639"/>
      <c r="AF76" s="1167">
        <v>19</v>
      </c>
    </row>
    <row s="1373" customFormat="1" customHeight="1" ht="19.95">
      <c r="A77" s="994"/>
      <c r="C77" s="1643"/>
      <c r="D77" s="1645"/>
      <c r="E77" s="553" t="str">
        <f>FHD_NUM_P_39</f>
        <v>4.1.1</v>
      </c>
      <c r="F77" s="1657" t="str">
        <f>FHD_P_39</f>
        <v>Изменение стоимости основных фондов за счет их ввода в эксплуатацию</v>
      </c>
      <c r="G77" s="2079" t="s">
        <v>714</v>
      </c>
      <c r="H77" s="564"/>
      <c r="I77" s="564"/>
      <c r="J77" s="296" t="str">
        <f>FHD_NOTE_P_39</f>
        <v>Указываются изменение стоимости основных фондов за счет их ввода в эксплуатацию.</v>
      </c>
      <c r="K77" s="550"/>
      <c r="L77" s="1643"/>
      <c r="M77" s="1643"/>
      <c r="R77" s="1643"/>
      <c r="U77" s="551"/>
      <c r="AA77" s="1639"/>
      <c r="AB77" s="1639"/>
      <c r="AC77" s="1639"/>
      <c r="AD77" s="1639"/>
      <c r="AE77" s="1639"/>
      <c r="AF77" s="1167">
        <v>19</v>
      </c>
    </row>
    <row s="1373" customFormat="1" customHeight="1" ht="19.95">
      <c r="A78" s="994"/>
      <c r="C78" s="1643"/>
      <c r="D78" s="1645"/>
      <c r="E78" s="553" t="str">
        <f>FHD_NUM_P_40</f>
        <v>4.1.2</v>
      </c>
      <c r="F78" s="2083" t="str">
        <f>FHD_P_40</f>
        <v>Изменение стоимости основных фондов за счет их вывода в эксплуатацию</v>
      </c>
      <c r="G78" s="2078" t="s">
        <v>714</v>
      </c>
      <c r="H78" s="983"/>
      <c r="I78" s="564"/>
      <c r="J78" s="296" t="str">
        <f>FHD_NOTE_P_40</f>
        <v>Указываются изменение стоимости основных фондов за счет их вывода из эксплуатации.</v>
      </c>
      <c r="K78" s="550"/>
      <c r="L78" s="1643"/>
      <c r="M78" s="1643"/>
      <c r="R78" s="1643"/>
      <c r="U78" s="551"/>
      <c r="AA78" s="1639"/>
      <c r="AB78" s="1639"/>
      <c r="AC78" s="1639"/>
      <c r="AD78" s="1639"/>
      <c r="AE78" s="1639"/>
      <c r="AF78" s="1167">
        <v>19</v>
      </c>
    </row>
    <row s="1373" customFormat="1" customHeight="1" ht="19.95">
      <c r="A79" s="994"/>
      <c r="C79" s="1643"/>
      <c r="D79" s="1645"/>
      <c r="E79" s="553" t="str">
        <f>FHD_NUM_P_41</f>
        <v>4.2</v>
      </c>
      <c r="F79" s="2082" t="str">
        <f>FHD_P_41</f>
        <v>Изменение стоимости основных фондов за счет их переоценки</v>
      </c>
      <c r="G79" s="2078" t="s">
        <v>714</v>
      </c>
      <c r="H79" s="983"/>
      <c r="I79" s="564"/>
      <c r="J79" s="296" t="str">
        <f>FHD_NOTE_P_41</f>
        <v/>
      </c>
      <c r="K79" s="550"/>
      <c r="L79" s="1643"/>
      <c r="M79" s="1643"/>
      <c r="R79" s="1643"/>
      <c r="U79" s="551"/>
      <c r="AA79" s="1639"/>
      <c r="AB79" s="1639"/>
      <c r="AC79" s="1639"/>
      <c r="AD79" s="1639"/>
      <c r="AE79" s="1639"/>
      <c r="AF79" s="1167">
        <v>19</v>
      </c>
    </row>
    <row s="1373" customFormat="1" customHeight="1" ht="19.95">
      <c r="A80" s="996" t="s">
        <v>741</v>
      </c>
      <c r="C80" s="1643"/>
      <c r="D80" s="1645"/>
      <c r="E80" s="553" t="str">
        <f>FHD_NUM_P_42</f>
        <v>5</v>
      </c>
      <c r="F80" s="2080" t="str">
        <f>FHD_P_42</f>
        <v>Валовая прибыль (убытки) от продажи товаров и услуг по регулируемым видам деятельности в сфере холодного водоснабжения</v>
      </c>
      <c r="G80" s="2078" t="s">
        <v>714</v>
      </c>
      <c r="H80" s="983"/>
      <c r="I80" s="564"/>
      <c r="J80" s="296" t="str">
        <f>FHD_NOTE_P_42</f>
        <v/>
      </c>
      <c r="K80" s="550"/>
      <c r="L80" s="1643"/>
      <c r="M80" s="1643"/>
      <c r="R80" s="1643"/>
      <c r="U80" s="551"/>
      <c r="AA80" s="1639"/>
      <c r="AB80" s="1639"/>
      <c r="AC80" s="1639"/>
      <c r="AD80" s="1639"/>
      <c r="AE80" s="1639"/>
      <c r="AF80" s="1167">
        <v>19</v>
      </c>
    </row>
    <row s="1373" customFormat="1" customHeight="1" ht="19.95">
      <c r="A81" s="994"/>
      <c r="C81" s="1643"/>
      <c r="D81" s="1645"/>
      <c r="E81" s="553" t="str">
        <f>FHD_NUM_P_43</f>
        <v>6</v>
      </c>
      <c r="F81" s="1887" t="str">
        <f>FHD_P_43</f>
        <v>Годовая бухгалтерская (финансовая) отчетность, включая бухгалтерский баланс и приложения к нему</v>
      </c>
      <c r="G81" s="2081" t="s">
        <v>469</v>
      </c>
      <c r="H81" s="1062"/>
      <c r="I81" s="825"/>
      <c r="J81" s="296"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50"/>
      <c r="L81" s="1643"/>
      <c r="M81" s="1643"/>
      <c r="R81" s="1643"/>
      <c r="U81" s="551"/>
      <c r="AA81" s="1639"/>
      <c r="AB81" s="1639"/>
      <c r="AC81" s="1639"/>
      <c r="AD81" s="1639"/>
      <c r="AE81" s="1639"/>
      <c r="AF81" s="1167">
        <v>19</v>
      </c>
    </row>
    <row s="1373" customFormat="1" customHeight="1" ht="18.75">
      <c r="A82" s="2378" t="s">
        <v>742</v>
      </c>
      <c r="C82" s="742"/>
      <c r="D82" s="740"/>
      <c r="E82" s="553" t="str">
        <f>FHD_NUM_P_44</f>
        <v>7</v>
      </c>
      <c r="F82" s="1887" t="str">
        <f>FHD_P_44</f>
        <v>Объём поднятой воды</v>
      </c>
      <c r="G82" s="1888" t="s">
        <v>743</v>
      </c>
      <c r="H82" s="984"/>
      <c r="I82" s="584"/>
      <c r="J82" s="296" t="str">
        <f>FHD_NOTE_P_44</f>
        <v/>
      </c>
      <c r="K82" s="741"/>
      <c r="L82" s="742"/>
      <c r="M82" s="742"/>
      <c r="R82" s="742"/>
      <c r="U82" s="743"/>
      <c r="AA82" s="744"/>
      <c r="AB82" s="744"/>
      <c r="AC82" s="744"/>
      <c r="AD82" s="744"/>
      <c r="AE82" s="744"/>
      <c r="AF82" s="917">
        <v>0</v>
      </c>
    </row>
    <row s="1373" customFormat="1" customHeight="1" ht="18.75">
      <c r="A83" s="2378"/>
      <c r="C83" s="742"/>
      <c r="D83" s="740"/>
      <c r="E83" s="553" t="str">
        <f>FHD_NUM_P_45</f>
        <v>8</v>
      </c>
      <c r="F83" s="1887" t="str">
        <f>FHD_P_45</f>
        <v>Объём покупной воды</v>
      </c>
      <c r="G83" s="1888" t="s">
        <v>743</v>
      </c>
      <c r="H83" s="984"/>
      <c r="I83" s="584"/>
      <c r="J83" s="296" t="str">
        <f>FHD_NOTE_P_45</f>
        <v/>
      </c>
      <c r="K83" s="741"/>
      <c r="L83" s="742"/>
      <c r="M83" s="742"/>
      <c r="R83" s="742"/>
      <c r="U83" s="743"/>
      <c r="AA83" s="744"/>
      <c r="AB83" s="744"/>
      <c r="AC83" s="744"/>
      <c r="AD83" s="744"/>
      <c r="AE83" s="744"/>
      <c r="AF83" s="917">
        <v>0</v>
      </c>
    </row>
    <row s="1373" customFormat="1" customHeight="1" ht="18.75">
      <c r="A84" s="2378"/>
      <c r="C84" s="742"/>
      <c r="D84" s="745"/>
      <c r="E84" s="553" t="str">
        <f>FHD_NUM_P_46</f>
        <v>9</v>
      </c>
      <c r="F84" s="1887" t="str">
        <f>FHD_P_46</f>
        <v>Объём воды, пропущенной через очистные сооружения</v>
      </c>
      <c r="G84" s="1888" t="s">
        <v>743</v>
      </c>
      <c r="H84" s="984"/>
      <c r="I84" s="584"/>
      <c r="J84" s="296" t="str">
        <f>FHD_NOTE_P_46</f>
        <v/>
      </c>
      <c r="K84" s="741"/>
      <c r="L84" s="742"/>
      <c r="M84" s="742"/>
      <c r="R84" s="742"/>
      <c r="U84" s="743"/>
      <c r="AA84" s="744"/>
      <c r="AB84" s="744"/>
      <c r="AC84" s="744"/>
      <c r="AD84" s="744"/>
      <c r="AE84" s="744"/>
      <c r="AF84" s="917">
        <v>0</v>
      </c>
    </row>
    <row s="1373" customFormat="1" customHeight="1" ht="18.75">
      <c r="A85" s="2378"/>
      <c r="C85" s="742"/>
      <c r="D85" s="740"/>
      <c r="E85" s="553" t="str">
        <f>FHD_NUM_P_47</f>
        <v>10</v>
      </c>
      <c r="F85" s="1887" t="str">
        <f>FHD_P_47</f>
        <v>Объём отпущенной потребителям воды, в том числе:</v>
      </c>
      <c r="G85" s="1888" t="s">
        <v>743</v>
      </c>
      <c r="H85" s="984"/>
      <c r="I85" s="584"/>
      <c r="J85" s="296" t="str">
        <f>FHD_NOTE_P_47</f>
        <v>Указывается общий объем отпущенной потребителям воды.</v>
      </c>
      <c r="K85" s="741"/>
      <c r="L85" s="742"/>
      <c r="M85" s="742"/>
      <c r="R85" s="742"/>
      <c r="U85" s="743"/>
      <c r="AA85" s="744"/>
      <c r="AB85" s="744"/>
      <c r="AC85" s="744"/>
      <c r="AD85" s="744"/>
      <c r="AE85" s="744"/>
      <c r="AF85" s="917">
        <v>0</v>
      </c>
    </row>
    <row s="1642" customFormat="1" customHeight="1" ht="18.75">
      <c r="A86" s="2378"/>
      <c r="B86" s="917"/>
      <c r="C86" s="742"/>
      <c r="D86" s="740"/>
      <c r="E86" s="553" t="str">
        <f>FHD_NUM_P_48</f>
        <v>10.1</v>
      </c>
      <c r="F86" s="1887" t="str">
        <f>FHD_P_48</f>
        <v>Объём отпущенной потребителям воды, определенный по приборам учета</v>
      </c>
      <c r="G86" s="1888" t="s">
        <v>743</v>
      </c>
      <c r="H86" s="984"/>
      <c r="I86" s="584"/>
      <c r="J86" s="296" t="str">
        <f>FHD_NOTE_P_48</f>
        <v/>
      </c>
      <c r="K86" s="741"/>
      <c r="L86" s="742"/>
      <c r="M86" s="742"/>
      <c r="N86" s="917"/>
      <c r="O86" s="917"/>
      <c r="P86" s="917"/>
      <c r="Q86" s="917"/>
      <c r="R86" s="742"/>
      <c r="S86" s="917"/>
      <c r="T86" s="917"/>
      <c r="U86" s="743"/>
      <c r="V86" s="917"/>
      <c r="W86" s="917"/>
      <c r="X86" s="917"/>
      <c r="Y86" s="917"/>
      <c r="Z86" s="917"/>
      <c r="AA86" s="744"/>
      <c r="AB86" s="744"/>
      <c r="AC86" s="744"/>
      <c r="AD86" s="744"/>
      <c r="AE86" s="744"/>
      <c r="AF86" s="746">
        <v>0</v>
      </c>
    </row>
    <row s="1642" customFormat="1" customHeight="1" ht="18.75">
      <c r="A87" s="2378"/>
      <c r="B87" s="917"/>
      <c r="C87" s="742"/>
      <c r="D87" s="740"/>
      <c r="E87" s="553" t="str">
        <f>FHD_NUM_P_49</f>
        <v>10.2</v>
      </c>
      <c r="F87" s="1887" t="str">
        <f>FHD_P_49</f>
        <v>Объём отпущенной потребителям воды, определенный расчетным способом</v>
      </c>
      <c r="G87" s="1888" t="s">
        <v>743</v>
      </c>
      <c r="H87" s="985">
        <f>SUM(H88:H89)</f>
        <v>0</v>
      </c>
      <c r="I87" s="756">
        <f>SUM(I88:I89)</f>
        <v>0</v>
      </c>
      <c r="J87" s="296" t="str">
        <f>FHD_NOTE_P_49</f>
        <v/>
      </c>
      <c r="K87" s="741"/>
      <c r="L87" s="742"/>
      <c r="M87" s="742"/>
      <c r="N87" s="917"/>
      <c r="O87" s="917"/>
      <c r="P87" s="917"/>
      <c r="Q87" s="917"/>
      <c r="R87" s="742"/>
      <c r="S87" s="917"/>
      <c r="T87" s="917"/>
      <c r="U87" s="743"/>
      <c r="V87" s="917"/>
      <c r="W87" s="917"/>
      <c r="X87" s="917"/>
      <c r="Y87" s="917"/>
      <c r="Z87" s="917"/>
      <c r="AA87" s="744"/>
      <c r="AB87" s="744"/>
      <c r="AC87" s="744"/>
      <c r="AD87" s="744"/>
      <c r="AE87" s="744"/>
      <c r="AF87" s="746">
        <v>0</v>
      </c>
    </row>
    <row s="1642" customFormat="1" customHeight="1" ht="18.75">
      <c r="A88" s="2378"/>
      <c r="B88" s="917"/>
      <c r="C88" s="742"/>
      <c r="D88" s="740"/>
      <c r="E88" s="553" t="str">
        <f>FHD_NUM_P_50</f>
        <v>10.2.1</v>
      </c>
      <c r="F88" s="1887" t="str">
        <f>FHD_P_50</f>
        <v>Объём отпущенной потребителям воды, определенный по нормативам потребления коммунальных услуг</v>
      </c>
      <c r="G88" s="1888" t="s">
        <v>743</v>
      </c>
      <c r="H88" s="984"/>
      <c r="I88" s="584"/>
      <c r="J88" s="296" t="str">
        <f>FHD_NOTE_P_50</f>
        <v/>
      </c>
      <c r="K88" s="741"/>
      <c r="L88" s="742"/>
      <c r="M88" s="742"/>
      <c r="N88" s="917"/>
      <c r="O88" s="917"/>
      <c r="P88" s="917"/>
      <c r="Q88" s="917"/>
      <c r="R88" s="742"/>
      <c r="S88" s="917"/>
      <c r="T88" s="917"/>
      <c r="U88" s="743"/>
      <c r="V88" s="917"/>
      <c r="W88" s="917"/>
      <c r="X88" s="917"/>
      <c r="Y88" s="917"/>
      <c r="Z88" s="917"/>
      <c r="AA88" s="744"/>
      <c r="AB88" s="744"/>
      <c r="AC88" s="744"/>
      <c r="AD88" s="744"/>
      <c r="AE88" s="744"/>
      <c r="AF88" s="746">
        <v>0</v>
      </c>
    </row>
    <row s="1642" customFormat="1" customHeight="1" ht="18.75">
      <c r="A89" s="2378"/>
      <c r="B89" s="917"/>
      <c r="C89" s="742"/>
      <c r="D89" s="740"/>
      <c r="E89" s="553" t="str">
        <f>FHD_NUM_P_51</f>
        <v>10.2.2</v>
      </c>
      <c r="F89" s="1887" t="str">
        <f>FHD_P_51</f>
        <v>Объём отпущенной потребителям воды, определенный по нормативам потребления коммунальных ресурсов </v>
      </c>
      <c r="G89" s="1888" t="s">
        <v>743</v>
      </c>
      <c r="H89" s="984"/>
      <c r="I89" s="584"/>
      <c r="J89" s="296" t="str">
        <f>FHD_NOTE_P_51</f>
        <v/>
      </c>
      <c r="K89" s="741"/>
      <c r="L89" s="742"/>
      <c r="M89" s="742"/>
      <c r="N89" s="917"/>
      <c r="O89" s="917"/>
      <c r="P89" s="917"/>
      <c r="Q89" s="917"/>
      <c r="R89" s="742"/>
      <c r="S89" s="917"/>
      <c r="T89" s="917"/>
      <c r="U89" s="743"/>
      <c r="V89" s="917"/>
      <c r="W89" s="917"/>
      <c r="X89" s="917"/>
      <c r="Y89" s="917"/>
      <c r="Z89" s="917"/>
      <c r="AA89" s="744"/>
      <c r="AB89" s="744"/>
      <c r="AC89" s="744"/>
      <c r="AD89" s="744"/>
      <c r="AE89" s="744"/>
      <c r="AF89" s="746">
        <v>0</v>
      </c>
    </row>
    <row s="1642" customFormat="1" customHeight="1" ht="18.75">
      <c r="A90" s="2378"/>
      <c r="B90" s="917"/>
      <c r="C90" s="742"/>
      <c r="D90" s="740"/>
      <c r="E90" s="553" t="str">
        <f>FHD_NUM_P_52</f>
        <v>11</v>
      </c>
      <c r="F90" s="1887" t="str">
        <f>FHD_P_52</f>
        <v>Потери воды в сетях</v>
      </c>
      <c r="G90" s="1888" t="s">
        <v>720</v>
      </c>
      <c r="H90" s="983"/>
      <c r="I90" s="564"/>
      <c r="J90" s="296" t="str">
        <f>FHD_NOTE_P_52</f>
        <v/>
      </c>
      <c r="K90" s="741"/>
      <c r="L90" s="742"/>
      <c r="M90" s="742"/>
      <c r="N90" s="917"/>
      <c r="O90" s="917"/>
      <c r="P90" s="917"/>
      <c r="Q90" s="917"/>
      <c r="R90" s="742"/>
      <c r="S90" s="917"/>
      <c r="T90" s="917"/>
      <c r="U90" s="743"/>
      <c r="V90" s="917"/>
      <c r="W90" s="917"/>
      <c r="X90" s="917"/>
      <c r="Y90" s="917"/>
      <c r="Z90" s="917"/>
      <c r="AA90" s="744"/>
      <c r="AB90" s="744"/>
      <c r="AC90" s="744"/>
      <c r="AD90" s="744"/>
      <c r="AE90" s="744"/>
      <c r="AF90" s="746">
        <v>0</v>
      </c>
    </row>
    <row s="1373" customFormat="1" customHeight="1" ht="18.75" hidden="1">
      <c r="A91" s="2380" t="s">
        <v>744</v>
      </c>
      <c r="C91" s="742"/>
      <c r="D91" s="740"/>
      <c r="E91" s="553" t="str">
        <f>FHD_NUM_P_53</f>
        <v/>
      </c>
      <c r="F91" s="1887" t="str">
        <f>FHD_P_53</f>
        <v/>
      </c>
      <c r="G91" s="1888" t="s">
        <v>743</v>
      </c>
      <c r="H91" s="984"/>
      <c r="I91" s="584"/>
      <c r="J91" s="296" t="str">
        <f>FHD_NOTE_P_53</f>
        <v/>
      </c>
      <c r="K91" s="741"/>
      <c r="L91" s="742"/>
      <c r="M91" s="742"/>
      <c r="R91" s="742"/>
      <c r="U91" s="743"/>
      <c r="AA91" s="744"/>
      <c r="AB91" s="744"/>
      <c r="AC91" s="744"/>
      <c r="AD91" s="744"/>
      <c r="AE91" s="744"/>
      <c r="AF91" s="917">
        <v>0</v>
      </c>
    </row>
    <row s="1373" customFormat="1" customHeight="1" ht="18.75" hidden="1">
      <c r="A92" s="2380"/>
      <c r="C92" s="742"/>
      <c r="D92" s="740"/>
      <c r="E92" s="553" t="str">
        <f>FHD_NUM_P_54</f>
        <v/>
      </c>
      <c r="F92" s="1887" t="str">
        <f>FHD_P_54</f>
        <v/>
      </c>
      <c r="G92" s="1888" t="s">
        <v>743</v>
      </c>
      <c r="H92" s="984"/>
      <c r="I92" s="584"/>
      <c r="J92" s="296" t="str">
        <f>FHD_NOTE_P_54</f>
        <v/>
      </c>
      <c r="K92" s="741"/>
      <c r="L92" s="742"/>
      <c r="M92" s="742"/>
      <c r="R92" s="742"/>
      <c r="U92" s="743"/>
      <c r="AA92" s="744"/>
      <c r="AB92" s="744"/>
      <c r="AC92" s="744"/>
      <c r="AD92" s="744"/>
      <c r="AE92" s="744"/>
      <c r="AF92" s="917">
        <v>0</v>
      </c>
    </row>
    <row s="1373" customFormat="1" customHeight="1" ht="18.75" hidden="1">
      <c r="A93" s="2380"/>
      <c r="C93" s="742"/>
      <c r="D93" s="745"/>
      <c r="E93" s="553" t="str">
        <f>FHD_NUM_P_55</f>
        <v/>
      </c>
      <c r="F93" s="1887" t="str">
        <f>FHD_P_55</f>
        <v/>
      </c>
      <c r="G93" s="1891"/>
      <c r="H93" s="984"/>
      <c r="I93" s="584"/>
      <c r="J93" s="296" t="str">
        <f>FHD_NOTE_P_55</f>
        <v/>
      </c>
      <c r="K93" s="741"/>
      <c r="L93" s="742"/>
      <c r="M93" s="742"/>
      <c r="R93" s="742"/>
      <c r="U93" s="743"/>
      <c r="AA93" s="744"/>
      <c r="AB93" s="744"/>
      <c r="AC93" s="744"/>
      <c r="AD93" s="744"/>
      <c r="AE93" s="744"/>
      <c r="AF93" s="917">
        <v>0</v>
      </c>
    </row>
    <row s="1373" customFormat="1" customHeight="1" ht="18.75" hidden="1">
      <c r="A94" s="2380"/>
      <c r="C94" s="742"/>
      <c r="D94" s="740"/>
      <c r="E94" s="553" t="str">
        <f>FHD_NUM_P_56</f>
        <v/>
      </c>
      <c r="F94" s="1887" t="str">
        <f>FHD_P_56</f>
        <v/>
      </c>
      <c r="G94" s="1888" t="s">
        <v>745</v>
      </c>
      <c r="H94" s="984"/>
      <c r="I94" s="584"/>
      <c r="J94" s="296" t="str">
        <f>FHD_NOTE_P_56</f>
        <v/>
      </c>
      <c r="K94" s="741"/>
      <c r="L94" s="742"/>
      <c r="M94" s="742"/>
      <c r="R94" s="742"/>
      <c r="U94" s="743"/>
      <c r="AA94" s="744"/>
      <c r="AB94" s="744"/>
      <c r="AC94" s="744"/>
      <c r="AD94" s="744"/>
      <c r="AE94" s="744"/>
      <c r="AF94" s="917">
        <v>0</v>
      </c>
    </row>
    <row s="1642" customFormat="1" customHeight="1" ht="18.75" hidden="1">
      <c r="A95" s="2380"/>
      <c r="B95" s="917"/>
      <c r="C95" s="742"/>
      <c r="D95" s="740"/>
      <c r="E95" s="553" t="str">
        <f>FHD_NUM_P_57</f>
        <v/>
      </c>
      <c r="F95" s="1887" t="str">
        <f>FHD_P_57</f>
        <v/>
      </c>
      <c r="G95" s="1888" t="s">
        <v>720</v>
      </c>
      <c r="H95" s="983"/>
      <c r="I95" s="564"/>
      <c r="J95" s="296" t="str">
        <f>FHD_NOTE_P_57</f>
        <v/>
      </c>
      <c r="K95" s="741"/>
      <c r="L95" s="742"/>
      <c r="M95" s="742"/>
      <c r="N95" s="917"/>
      <c r="O95" s="917"/>
      <c r="P95" s="917"/>
      <c r="Q95" s="917"/>
      <c r="R95" s="742"/>
      <c r="S95" s="917"/>
      <c r="T95" s="917"/>
      <c r="U95" s="743"/>
      <c r="V95" s="917"/>
      <c r="W95" s="917"/>
      <c r="X95" s="917"/>
      <c r="Y95" s="917"/>
      <c r="Z95" s="917"/>
      <c r="AA95" s="744"/>
      <c r="AB95" s="744"/>
      <c r="AC95" s="744"/>
      <c r="AD95" s="744"/>
      <c r="AE95" s="744"/>
      <c r="AF95" s="746">
        <v>0</v>
      </c>
    </row>
    <row customHeight="1" ht="18.75" hidden="1">
      <c r="A96" s="2378" t="s">
        <v>746</v>
      </c>
      <c r="D96" s="1645"/>
      <c r="E96" s="553" t="str">
        <f>FHD_NUM_P_58</f>
        <v/>
      </c>
      <c r="F96" s="1887" t="str">
        <f>FHD_P_58</f>
        <v/>
      </c>
      <c r="G96" s="1888" t="s">
        <v>743</v>
      </c>
      <c r="H96" s="984"/>
      <c r="I96" s="584"/>
      <c r="J96" s="296" t="str">
        <f>FHD_NOTE_P_58</f>
        <v/>
      </c>
      <c r="K96" s="550"/>
      <c r="AF96" s="1638">
        <v>0</v>
      </c>
    </row>
    <row customHeight="1" ht="18.75" hidden="1">
      <c r="A97" s="2378"/>
      <c r="D97" s="1645"/>
      <c r="E97" s="553" t="str">
        <f>FHD_NUM_P_59</f>
        <v/>
      </c>
      <c r="F97" s="1887" t="str">
        <f>FHD_P_59</f>
        <v/>
      </c>
      <c r="G97" s="1888" t="s">
        <v>743</v>
      </c>
      <c r="H97" s="984"/>
      <c r="I97" s="584"/>
      <c r="J97" s="296" t="str">
        <f>FHD_NOTE_P_59</f>
        <v/>
      </c>
      <c r="K97" s="550"/>
      <c r="AF97" s="1638">
        <v>0</v>
      </c>
    </row>
    <row customHeight="1" ht="18.75" hidden="1">
      <c r="A98" s="2378"/>
      <c r="D98" s="1645"/>
      <c r="E98" s="553" t="str">
        <f>FHD_NUM_P_60</f>
        <v/>
      </c>
      <c r="F98" s="1887" t="str">
        <f>FHD_P_60</f>
        <v/>
      </c>
      <c r="G98" s="1888" t="s">
        <v>743</v>
      </c>
      <c r="H98" s="984"/>
      <c r="I98" s="584"/>
      <c r="J98" s="296" t="str">
        <f>FHD_NOTE_P_60</f>
        <v/>
      </c>
      <c r="K98" s="550"/>
      <c r="AF98" s="1638">
        <v>0</v>
      </c>
    </row>
    <row s="1373" customFormat="1" customHeight="1" ht="18.75" hidden="1">
      <c r="A99" s="2378" t="s">
        <v>747</v>
      </c>
      <c r="C99" s="1643"/>
      <c r="D99" s="1645"/>
      <c r="E99" s="553" t="str">
        <f>FHD_NUM_P_61</f>
        <v/>
      </c>
      <c r="F99" s="1887" t="str">
        <f>FHD_P_61</f>
        <v/>
      </c>
      <c r="G99" s="1885" t="s">
        <v>718</v>
      </c>
      <c r="H99" s="986"/>
      <c r="I99" s="749"/>
      <c r="J99" s="296" t="str">
        <f>FHD_NOTE_P_61</f>
        <v/>
      </c>
      <c r="K99" s="550"/>
      <c r="L99" s="1643"/>
      <c r="M99" s="1643"/>
      <c r="R99" s="1643"/>
      <c r="U99" s="551"/>
      <c r="AA99" s="1639"/>
      <c r="AB99" s="1639"/>
      <c r="AC99" s="1639"/>
      <c r="AD99" s="1639"/>
      <c r="AE99" s="1639"/>
      <c r="AF99" s="1167">
        <v>0</v>
      </c>
    </row>
    <row s="1649" customFormat="1" customHeight="1" ht="0.75" hidden="1">
      <c r="A100" s="2378"/>
      <c r="D100" s="555"/>
      <c r="E100" s="1020" t="str">
        <f>E99&amp;".0"</f>
        <v>.0</v>
      </c>
      <c r="F100" s="1001"/>
      <c r="G100" s="1002"/>
      <c r="H100" s="999"/>
      <c r="I100" s="999"/>
      <c r="J100" s="1003"/>
      <c r="AF100" s="1643">
        <v>0</v>
      </c>
    </row>
    <row customHeight="1" ht="15" hidden="1">
      <c r="A101" s="2378"/>
      <c r="D101" s="1640"/>
      <c r="E101" s="978"/>
      <c r="F101" s="979" t="s">
        <v>748</v>
      </c>
      <c r="G101" s="579"/>
      <c r="H101" s="580"/>
      <c r="I101" s="580"/>
      <c r="J101" s="1011" t="s">
        <v>749</v>
      </c>
      <c r="K101" s="550"/>
      <c r="AF101" s="1638">
        <v>0</v>
      </c>
    </row>
    <row s="1373" customFormat="1" customHeight="1" ht="18.75" hidden="1">
      <c r="A102" s="2378"/>
      <c r="C102" s="1643"/>
      <c r="D102" s="1645"/>
      <c r="E102" s="553" t="str">
        <f>FHD_NUM_P_62</f>
        <v/>
      </c>
      <c r="F102" s="1887" t="str">
        <f>FHD_P_62</f>
        <v/>
      </c>
      <c r="G102" s="1884" t="s">
        <v>718</v>
      </c>
      <c r="H102" s="564"/>
      <c r="I102" s="564"/>
      <c r="J102" s="296" t="str">
        <f>FHD_NOTE_P_62</f>
        <v/>
      </c>
      <c r="K102" s="550"/>
      <c r="L102" s="1643"/>
      <c r="M102" s="1643"/>
      <c r="R102" s="1643"/>
      <c r="U102" s="551"/>
      <c r="AA102" s="1639"/>
      <c r="AB102" s="1639"/>
      <c r="AC102" s="1639"/>
      <c r="AD102" s="1639"/>
      <c r="AE102" s="1639"/>
      <c r="AF102" s="1167">
        <v>0</v>
      </c>
    </row>
    <row s="1373" customFormat="1" customHeight="1" ht="18.75" hidden="1">
      <c r="A103" s="2378"/>
      <c r="C103" s="1643"/>
      <c r="D103" s="1645"/>
      <c r="E103" s="553" t="str">
        <f>FHD_NUM_P_63</f>
        <v/>
      </c>
      <c r="F103" s="1887" t="str">
        <f>FHD_P_63</f>
        <v/>
      </c>
      <c r="G103" s="1884" t="s">
        <v>745</v>
      </c>
      <c r="H103" s="584"/>
      <c r="I103" s="584"/>
      <c r="J103" s="296" t="str">
        <f>FHD_NOTE_P_63</f>
        <v/>
      </c>
      <c r="K103" s="550"/>
      <c r="L103" s="1643"/>
      <c r="M103" s="1643"/>
      <c r="R103" s="1643"/>
      <c r="U103" s="551"/>
      <c r="AA103" s="1639"/>
      <c r="AB103" s="1639"/>
      <c r="AC103" s="1639"/>
      <c r="AD103" s="1639"/>
      <c r="AE103" s="1639"/>
      <c r="AF103" s="1167">
        <v>0</v>
      </c>
    </row>
    <row s="1373" customFormat="1" customHeight="1" ht="18.75" hidden="1">
      <c r="A104" s="2378"/>
      <c r="C104" s="1643" t="s">
        <v>750</v>
      </c>
      <c r="D104" s="1645"/>
      <c r="E104" s="553" t="str">
        <f>FHD_NUM_P_64</f>
        <v/>
      </c>
      <c r="F104" s="1887" t="str">
        <f>FHD_P_64</f>
        <v/>
      </c>
      <c r="G104" s="1884" t="s">
        <v>745</v>
      </c>
      <c r="H104" s="552"/>
      <c r="I104" s="552"/>
      <c r="J104" s="296" t="str">
        <f>FHD_NOTE_P_64</f>
        <v/>
      </c>
      <c r="K104" s="550"/>
      <c r="L104" s="1643"/>
      <c r="M104" s="1643"/>
      <c r="R104" s="1643"/>
      <c r="U104" s="551"/>
      <c r="AA104" s="1639"/>
      <c r="AB104" s="1639"/>
      <c r="AC104" s="1639"/>
      <c r="AD104" s="1639"/>
      <c r="AE104" s="1639"/>
      <c r="AF104" s="1167">
        <v>0</v>
      </c>
    </row>
    <row s="1373" customFormat="1" customHeight="1" ht="18.75" hidden="1">
      <c r="A105" s="2378"/>
      <c r="C105" s="1643"/>
      <c r="D105" s="1645"/>
      <c r="E105" s="553" t="str">
        <f>FHD_NUM_P_65</f>
        <v/>
      </c>
      <c r="F105" s="1887" t="str">
        <f>FHD_P_65</f>
        <v/>
      </c>
      <c r="G105" s="1884" t="s">
        <v>745</v>
      </c>
      <c r="H105" s="584"/>
      <c r="I105" s="584"/>
      <c r="J105" s="296" t="str">
        <f>FHD_NOTE_P_65</f>
        <v/>
      </c>
      <c r="K105" s="550"/>
      <c r="L105" s="1643"/>
      <c r="M105" s="1643"/>
      <c r="R105" s="1643"/>
      <c r="U105" s="551"/>
      <c r="AA105" s="1639"/>
      <c r="AB105" s="1639"/>
      <c r="AC105" s="1639"/>
      <c r="AD105" s="1639"/>
      <c r="AE105" s="1639"/>
      <c r="AF105" s="1167">
        <v>0</v>
      </c>
    </row>
    <row s="1373" customFormat="1" customHeight="1" ht="18.75" hidden="1">
      <c r="A106" s="2378"/>
      <c r="C106" s="1643"/>
      <c r="D106" s="1645"/>
      <c r="E106" s="553" t="str">
        <f>FHD_NUM_P_66</f>
        <v/>
      </c>
      <c r="F106" s="1531" t="str">
        <f>FHD_P_66</f>
        <v/>
      </c>
      <c r="G106" s="1884" t="s">
        <v>745</v>
      </c>
      <c r="H106" s="584"/>
      <c r="I106" s="584"/>
      <c r="J106" s="296" t="str">
        <f>FHD_NOTE_P_66</f>
        <v/>
      </c>
      <c r="K106" s="550"/>
      <c r="L106" s="1643"/>
      <c r="M106" s="1643"/>
      <c r="R106" s="1643"/>
      <c r="U106" s="551"/>
      <c r="AA106" s="1639"/>
      <c r="AB106" s="1639"/>
      <c r="AC106" s="1639"/>
      <c r="AD106" s="1639"/>
      <c r="AE106" s="1639"/>
      <c r="AF106" s="1167">
        <v>0</v>
      </c>
    </row>
    <row s="1373" customFormat="1" customHeight="1" ht="18.75" hidden="1">
      <c r="A107" s="2378"/>
      <c r="C107" s="1643"/>
      <c r="D107" s="1645"/>
      <c r="E107" s="553" t="str">
        <f>FHD_NUM_P_67</f>
        <v/>
      </c>
      <c r="F107" s="1657" t="str">
        <f>FHD_P_67</f>
        <v/>
      </c>
      <c r="G107" s="1884" t="s">
        <v>745</v>
      </c>
      <c r="H107" s="584"/>
      <c r="I107" s="584"/>
      <c r="J107" s="296" t="str">
        <f>FHD_NOTE_P_67</f>
        <v/>
      </c>
      <c r="K107" s="550"/>
      <c r="L107" s="1643"/>
      <c r="M107" s="1643"/>
      <c r="R107" s="1643"/>
      <c r="U107" s="551"/>
      <c r="AA107" s="1639"/>
      <c r="AB107" s="1639"/>
      <c r="AC107" s="1639"/>
      <c r="AD107" s="1639"/>
      <c r="AE107" s="1639"/>
      <c r="AF107" s="1167">
        <v>0</v>
      </c>
    </row>
    <row s="1373" customFormat="1" customHeight="1" ht="18.75" hidden="1">
      <c r="A108" s="2378"/>
      <c r="C108" s="1643"/>
      <c r="D108" s="1645"/>
      <c r="E108" s="553" t="str">
        <f>FHD_NUM_P_68</f>
        <v/>
      </c>
      <c r="F108" s="1531" t="str">
        <f>FHD_P_68</f>
        <v/>
      </c>
      <c r="G108" s="1884" t="s">
        <v>745</v>
      </c>
      <c r="H108" s="584"/>
      <c r="I108" s="584"/>
      <c r="J108" s="296" t="str">
        <f>FHD_NOTE_P_68</f>
        <v/>
      </c>
      <c r="K108" s="550"/>
      <c r="L108" s="1643"/>
      <c r="M108" s="1643"/>
      <c r="R108" s="1643"/>
      <c r="U108" s="551"/>
      <c r="AA108" s="1639"/>
      <c r="AB108" s="1639"/>
      <c r="AC108" s="1639"/>
      <c r="AD108" s="1639"/>
      <c r="AE108" s="1639"/>
      <c r="AF108" s="1167">
        <v>0</v>
      </c>
    </row>
    <row s="1373" customFormat="1" customHeight="1" ht="18.75" hidden="1">
      <c r="A109" s="2378"/>
      <c r="C109" s="1643"/>
      <c r="D109" s="1645"/>
      <c r="E109" s="553" t="str">
        <f>FHD_NUM_P_69</f>
        <v/>
      </c>
      <c r="F109" s="1531" t="str">
        <f>FHD_P_69</f>
        <v/>
      </c>
      <c r="G109" s="1884" t="s">
        <v>745</v>
      </c>
      <c r="H109" s="584"/>
      <c r="I109" s="584"/>
      <c r="J109" s="296" t="str">
        <f>FHD_NOTE_P_69</f>
        <v/>
      </c>
      <c r="K109" s="550"/>
      <c r="L109" s="1643"/>
      <c r="M109" s="1643"/>
      <c r="R109" s="1643"/>
      <c r="U109" s="551"/>
      <c r="AA109" s="1639"/>
      <c r="AB109" s="1639"/>
      <c r="AC109" s="1639"/>
      <c r="AD109" s="1639"/>
      <c r="AE109" s="1639"/>
      <c r="AF109" s="1167">
        <v>0</v>
      </c>
    </row>
    <row s="1373" customFormat="1" customHeight="1" ht="22.5" hidden="1">
      <c r="A110" s="2378"/>
      <c r="C110" s="1643"/>
      <c r="D110" s="1645"/>
      <c r="E110" s="553" t="str">
        <f>FHD_NUM_P_70</f>
        <v/>
      </c>
      <c r="F110" s="1887" t="str">
        <f>FHD_P_70</f>
        <v/>
      </c>
      <c r="G110" s="1884" t="s">
        <v>751</v>
      </c>
      <c r="H110" s="564"/>
      <c r="I110" s="564"/>
      <c r="J110" s="296" t="str">
        <f>FHD_NOTE_P_70</f>
        <v/>
      </c>
      <c r="K110" s="550"/>
      <c r="L110" s="1643"/>
      <c r="M110" s="1643"/>
      <c r="R110" s="1643"/>
      <c r="U110" s="551"/>
      <c r="AA110" s="1639"/>
      <c r="AB110" s="1639"/>
      <c r="AC110" s="1639"/>
      <c r="AD110" s="1639"/>
      <c r="AE110" s="1639"/>
      <c r="AF110" s="1167">
        <v>0</v>
      </c>
    </row>
    <row s="1373" customFormat="1" customHeight="1" ht="22.5" hidden="1">
      <c r="A111" s="2378"/>
      <c r="C111" s="1643"/>
      <c r="D111" s="1645"/>
      <c r="E111" s="553" t="str">
        <f>FHD_NUM_P_71</f>
        <v/>
      </c>
      <c r="F111" s="1887" t="str">
        <f>FHD_P_71</f>
        <v/>
      </c>
      <c r="G111" s="1884" t="s">
        <v>751</v>
      </c>
      <c r="H111" s="564"/>
      <c r="I111" s="564"/>
      <c r="J111" s="296" t="str">
        <f>FHD_NOTE_P_71</f>
        <v/>
      </c>
      <c r="K111" s="550"/>
      <c r="L111" s="1643"/>
      <c r="M111" s="1643"/>
      <c r="R111" s="1643"/>
      <c r="U111" s="551"/>
      <c r="AA111" s="1639"/>
      <c r="AB111" s="1639"/>
      <c r="AC111" s="1639"/>
      <c r="AD111" s="1639"/>
      <c r="AE111" s="1639"/>
      <c r="AF111" s="1167">
        <v>0</v>
      </c>
    </row>
    <row customHeight="1" ht="19.95">
      <c r="D112" s="1645"/>
      <c r="E112" s="553" t="str">
        <f>FHD_NUM_P_72</f>
        <v>12</v>
      </c>
      <c r="F112" s="1887" t="str">
        <f>FHD_P_72</f>
        <v>Среднесписочная численность основного производственного персонала</v>
      </c>
      <c r="G112" s="1883" t="s">
        <v>752</v>
      </c>
      <c r="H112" s="584"/>
      <c r="I112" s="584"/>
      <c r="J112" s="296" t="str">
        <f>FHD_NOTE_P_72</f>
        <v/>
      </c>
      <c r="K112" s="550"/>
      <c r="AF112" s="1638">
        <v>19</v>
      </c>
    </row>
    <row customHeight="1" ht="18.75" hidden="1">
      <c r="A113" s="996" t="s">
        <v>753</v>
      </c>
      <c r="D113" s="1645"/>
      <c r="E113" s="553" t="str">
        <f>FHD_NUM_P_73</f>
        <v/>
      </c>
      <c r="F113" s="1887" t="str">
        <f>FHD_P_73</f>
        <v/>
      </c>
      <c r="G113" s="977" t="s">
        <v>752</v>
      </c>
      <c r="H113" s="975"/>
      <c r="I113" s="975"/>
      <c r="J113" s="296" t="str">
        <f>FHD_NOTE_P_73</f>
        <v/>
      </c>
      <c r="K113" s="550"/>
      <c r="AF113" s="1638">
        <v>0</v>
      </c>
    </row>
    <row customHeight="1" ht="33.75">
      <c r="A114" s="996" t="s">
        <v>754</v>
      </c>
      <c r="D114" s="1645"/>
      <c r="E114" s="553" t="str">
        <f>FHD_NUM_P_74</f>
        <v>13</v>
      </c>
      <c r="F114" s="1887" t="str">
        <f>FHD_P_74</f>
        <v>Удельный расход электрической энергии на подачу воды в сеть</v>
      </c>
      <c r="G114" s="1883" t="s">
        <v>755</v>
      </c>
      <c r="H114" s="584"/>
      <c r="I114" s="584"/>
      <c r="J114" s="296" t="str">
        <f>FHD_NOTE_P_74</f>
        <v/>
      </c>
      <c r="K114" s="550"/>
      <c r="AF114" s="1638">
        <v>0</v>
      </c>
    </row>
    <row s="1642" customFormat="1" customHeight="1" ht="18.75">
      <c r="A115" s="2380" t="s">
        <v>756</v>
      </c>
      <c r="B115" s="917"/>
      <c r="C115" s="742"/>
      <c r="D115" s="740"/>
      <c r="E115" s="553" t="str">
        <f>FHD_NUM_P_75</f>
        <v>14</v>
      </c>
      <c r="F115" s="1887" t="str">
        <f>FHD_P_75</f>
        <v>Расход воды на собственные нужды, в том числе:</v>
      </c>
      <c r="G115" s="1883" t="s">
        <v>720</v>
      </c>
      <c r="H115" s="564"/>
      <c r="I115" s="564"/>
      <c r="J115" s="296" t="str">
        <f>FHD_NOTE_P_75</f>
        <v>Указывается доля общего расхода воды на собственные нужны от объема отпуска воды потребителям.</v>
      </c>
      <c r="K115" s="741"/>
      <c r="L115" s="742"/>
      <c r="M115" s="742"/>
      <c r="N115" s="917"/>
      <c r="O115" s="917"/>
      <c r="P115" s="917"/>
      <c r="Q115" s="917"/>
      <c r="R115" s="742"/>
      <c r="S115" s="917"/>
      <c r="T115" s="917"/>
      <c r="U115" s="743"/>
      <c r="V115" s="917"/>
      <c r="W115" s="917"/>
      <c r="X115" s="917"/>
      <c r="Y115" s="917"/>
      <c r="Z115" s="917"/>
      <c r="AA115" s="744"/>
      <c r="AB115" s="744"/>
      <c r="AC115" s="744"/>
      <c r="AD115" s="744"/>
      <c r="AE115" s="744"/>
      <c r="AF115" s="746">
        <v>0</v>
      </c>
    </row>
    <row s="1642" customFormat="1" customHeight="1" ht="18.75">
      <c r="A116" s="2380"/>
      <c r="B116" s="917"/>
      <c r="C116" s="742"/>
      <c r="D116" s="740"/>
      <c r="E116" s="553" t="str">
        <f>FHD_NUM_P_76</f>
        <v>14.1</v>
      </c>
      <c r="F116" s="1887" t="str">
        <f>FHD_P_76</f>
        <v>Расход воды на хозяйственно-бытовые нужды</v>
      </c>
      <c r="G116" s="1883" t="s">
        <v>720</v>
      </c>
      <c r="H116" s="564"/>
      <c r="I116" s="564"/>
      <c r="J116" s="296" t="str">
        <f>FHD_NOTE_P_76</f>
        <v>Указывается доля расхода воды на хозяйственно-бытовые нужны от объема отпуска воды потребителям.</v>
      </c>
      <c r="K116" s="741"/>
      <c r="L116" s="742"/>
      <c r="M116" s="742"/>
      <c r="N116" s="917"/>
      <c r="O116" s="917"/>
      <c r="P116" s="917"/>
      <c r="Q116" s="917"/>
      <c r="R116" s="742"/>
      <c r="S116" s="917"/>
      <c r="T116" s="917"/>
      <c r="U116" s="743"/>
      <c r="V116" s="917"/>
      <c r="W116" s="917"/>
      <c r="X116" s="917"/>
      <c r="Y116" s="917"/>
      <c r="Z116" s="917"/>
      <c r="AA116" s="744"/>
      <c r="AB116" s="744"/>
      <c r="AC116" s="744"/>
      <c r="AD116" s="744"/>
      <c r="AE116" s="744"/>
      <c r="AF116" s="746">
        <v>0</v>
      </c>
    </row>
    <row s="1642" customFormat="1" customHeight="1" ht="18.75">
      <c r="A117" s="2380"/>
      <c r="B117" s="917"/>
      <c r="C117" s="742"/>
      <c r="D117" s="740"/>
      <c r="E117" s="553" t="str">
        <f>FHD_NUM_P_77</f>
        <v>15</v>
      </c>
      <c r="F117" s="1887" t="str">
        <f>FHD_P_77</f>
        <v>Показатель использования производственных объектов (по объему перекачки), в том числе:</v>
      </c>
      <c r="G117" s="1883" t="s">
        <v>720</v>
      </c>
      <c r="H117" s="564"/>
      <c r="I117" s="564"/>
      <c r="J117" s="296"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41"/>
      <c r="L117" s="742"/>
      <c r="M117" s="742"/>
      <c r="N117" s="917"/>
      <c r="O117" s="917"/>
      <c r="P117" s="917"/>
      <c r="Q117" s="917"/>
      <c r="R117" s="742"/>
      <c r="S117" s="917"/>
      <c r="T117" s="917"/>
      <c r="U117" s="743"/>
      <c r="V117" s="917"/>
      <c r="W117" s="917"/>
      <c r="X117" s="917"/>
      <c r="Y117" s="917"/>
      <c r="Z117" s="917"/>
      <c r="AA117" s="744"/>
      <c r="AB117" s="744"/>
      <c r="AC117" s="744"/>
      <c r="AD117" s="744"/>
      <c r="AE117" s="744"/>
      <c r="AF117" s="746">
        <v>0</v>
      </c>
    </row>
    <row s="1649" customFormat="1" customHeight="1" ht="0.75">
      <c r="A118" s="2380"/>
      <c r="D118" s="555"/>
      <c r="E118" s="1020" t="str">
        <f>E117&amp;".0"</f>
        <v>15.0</v>
      </c>
      <c r="F118" s="1004"/>
      <c r="G118" s="1658"/>
      <c r="H118" s="999"/>
      <c r="I118" s="999"/>
      <c r="J118" s="1003"/>
      <c r="AF118" s="1643">
        <v>0</v>
      </c>
    </row>
    <row s="1642" customFormat="1" customHeight="1" ht="15">
      <c r="A119" s="2380"/>
      <c r="B119" s="917"/>
      <c r="C119" s="742"/>
      <c r="D119" s="753"/>
      <c r="E119" s="980"/>
      <c r="F119" s="981" t="s">
        <v>757</v>
      </c>
      <c r="G119" s="754"/>
      <c r="H119" s="755"/>
      <c r="I119" s="755"/>
      <c r="J119" s="1010" t="s">
        <v>758</v>
      </c>
      <c r="K119" s="741"/>
      <c r="L119" s="742"/>
      <c r="M119" s="742"/>
      <c r="N119" s="917"/>
      <c r="O119" s="917"/>
      <c r="P119" s="917"/>
      <c r="Q119" s="917"/>
      <c r="R119" s="742"/>
      <c r="S119" s="917"/>
      <c r="T119" s="917"/>
      <c r="U119" s="743"/>
      <c r="V119" s="917"/>
      <c r="W119" s="917"/>
      <c r="X119" s="917"/>
      <c r="Y119" s="917"/>
      <c r="Z119" s="917"/>
      <c r="AA119" s="744"/>
      <c r="AB119" s="744"/>
      <c r="AC119" s="744"/>
      <c r="AD119" s="744"/>
      <c r="AE119" s="744"/>
      <c r="AF119" s="746">
        <v>0</v>
      </c>
    </row>
    <row customHeight="1" ht="22.5" hidden="1">
      <c r="A120" s="2378" t="s">
        <v>759</v>
      </c>
      <c r="D120" s="1645"/>
      <c r="E120" s="553" t="str">
        <f>FHD_NUM_P_78</f>
        <v/>
      </c>
      <c r="F120" s="1887" t="str">
        <f>FHD_P_78</f>
        <v/>
      </c>
      <c r="G120" s="1884" t="s">
        <v>722</v>
      </c>
      <c r="H120" s="584"/>
      <c r="I120" s="584"/>
      <c r="J120" s="296" t="str">
        <f>FHD_NOTE_P_78</f>
        <v/>
      </c>
      <c r="K120" s="550"/>
      <c r="AF120" s="1638">
        <v>0</v>
      </c>
    </row>
    <row s="1649" customFormat="1" customHeight="1" ht="0.75" hidden="1">
      <c r="A121" s="2378"/>
      <c r="D121" s="555"/>
      <c r="E121" s="1020" t="str">
        <f>E120&amp;".0"</f>
        <v>.0</v>
      </c>
      <c r="F121" s="1004"/>
      <c r="G121" s="1658"/>
      <c r="H121" s="999"/>
      <c r="I121" s="999"/>
      <c r="J121" s="1003"/>
      <c r="AF121" s="1643">
        <v>0</v>
      </c>
    </row>
    <row customHeight="1" ht="15" hidden="1">
      <c r="A122" s="2378"/>
      <c r="D122" s="1640"/>
      <c r="E122" s="577"/>
      <c r="F122" s="1175" t="s">
        <v>748</v>
      </c>
      <c r="G122" s="579"/>
      <c r="H122" s="580"/>
      <c r="I122" s="580"/>
      <c r="J122" s="1011" t="s">
        <v>760</v>
      </c>
      <c r="K122" s="550"/>
      <c r="AF122" s="1638">
        <v>0</v>
      </c>
    </row>
    <row customHeight="1" ht="22.5" hidden="1">
      <c r="A123" s="2378"/>
      <c r="D123" s="1645"/>
      <c r="E123" s="553" t="str">
        <f>FHD_NUM_P_79</f>
        <v/>
      </c>
      <c r="F123" s="1887" t="str">
        <f>FHD_P_79</f>
        <v/>
      </c>
      <c r="G123" s="1885" t="s">
        <v>724</v>
      </c>
      <c r="H123" s="584"/>
      <c r="I123" s="584"/>
      <c r="J123" s="296" t="str">
        <f>FHD_NOTE_P_79</f>
        <v/>
      </c>
      <c r="K123" s="550"/>
      <c r="AF123" s="1638">
        <v>0</v>
      </c>
    </row>
    <row s="1649" customFormat="1" customHeight="1" ht="0.75" hidden="1">
      <c r="A124" s="2378"/>
      <c r="D124" s="555"/>
      <c r="E124" s="1020" t="str">
        <f>E123&amp;".0"</f>
        <v>.0</v>
      </c>
      <c r="F124" s="1005"/>
      <c r="G124" s="1658"/>
      <c r="H124" s="999"/>
      <c r="I124" s="999"/>
      <c r="J124" s="1003"/>
      <c r="AF124" s="1643">
        <v>0</v>
      </c>
    </row>
    <row customHeight="1" ht="15" hidden="1">
      <c r="A125" s="2378"/>
      <c r="D125" s="1640"/>
      <c r="E125" s="577"/>
      <c r="F125" s="1175" t="s">
        <v>748</v>
      </c>
      <c r="G125" s="579"/>
      <c r="H125" s="580"/>
      <c r="I125" s="580"/>
      <c r="J125" s="1011" t="s">
        <v>761</v>
      </c>
      <c r="K125" s="550"/>
      <c r="AF125" s="1638">
        <v>0</v>
      </c>
    </row>
    <row customHeight="1" ht="22.5" hidden="1">
      <c r="A126" s="2378"/>
      <c r="D126" s="1645"/>
      <c r="E126" s="553" t="str">
        <f>FHD_NUM_P_80</f>
        <v/>
      </c>
      <c r="F126" s="1887" t="str">
        <f>FHD_P_80</f>
        <v/>
      </c>
      <c r="G126" s="1885" t="s">
        <v>762</v>
      </c>
      <c r="H126" s="564"/>
      <c r="I126" s="564"/>
      <c r="J126" s="296" t="str">
        <f>FHD_NOTE_P_80</f>
        <v/>
      </c>
      <c r="K126" s="550"/>
      <c r="AF126" s="1638">
        <v>0</v>
      </c>
    </row>
    <row customHeight="1" ht="18.75" hidden="1">
      <c r="A127" s="2378"/>
      <c r="D127" s="1645"/>
      <c r="E127" s="553" t="str">
        <f>FHD_NUM_P_81</f>
        <v/>
      </c>
      <c r="F127" s="1887" t="str">
        <f>FHD_P_81</f>
        <v/>
      </c>
      <c r="G127" s="1885" t="s">
        <v>763</v>
      </c>
      <c r="H127" s="564"/>
      <c r="I127" s="564"/>
      <c r="J127" s="296" t="str">
        <f>FHD_NOTE_P_81</f>
        <v/>
      </c>
      <c r="K127" s="550"/>
      <c r="AF127" s="1638">
        <v>0</v>
      </c>
    </row>
    <row customHeight="1" ht="18.75" hidden="1">
      <c r="A128" s="2378"/>
      <c r="C128" s="1643" t="s">
        <v>750</v>
      </c>
      <c r="D128" s="1645"/>
      <c r="E128" s="553" t="str">
        <f>FHD_NUM_P_82</f>
        <v/>
      </c>
      <c r="F128" s="1887" t="str">
        <f>FHD_P_82</f>
        <v/>
      </c>
      <c r="G128" s="1885" t="s">
        <v>469</v>
      </c>
      <c r="H128" s="408"/>
      <c r="I128" s="408"/>
      <c r="J128" s="296" t="str">
        <f>FHD_NOTE_P_82</f>
        <v/>
      </c>
      <c r="K128" s="550"/>
      <c r="AF128" s="1638">
        <v>0</v>
      </c>
    </row>
    <row customHeight="1" ht="18.75" hidden="1">
      <c r="A129" s="2378"/>
      <c r="C129" s="1643" t="s">
        <v>750</v>
      </c>
      <c r="D129" s="1645"/>
      <c r="E129" s="553" t="str">
        <f>FHD_NUM_P_83</f>
        <v/>
      </c>
      <c r="F129" s="1531" t="str">
        <f>FHD_P_83</f>
        <v/>
      </c>
      <c r="G129" s="1885" t="s">
        <v>469</v>
      </c>
      <c r="H129" s="408"/>
      <c r="I129" s="408"/>
      <c r="J129" s="296" t="str">
        <f>FHD_NOTE_P_83</f>
        <v/>
      </c>
      <c r="K129" s="550"/>
      <c r="AF129" s="1638">
        <v>0</v>
      </c>
    </row>
    <row customHeight="1" ht="18.75" hidden="1">
      <c r="A130" s="2378"/>
      <c r="C130" s="1643" t="s">
        <v>750</v>
      </c>
      <c r="D130" s="1645"/>
      <c r="E130" s="553" t="str">
        <f>FHD_NUM_P_84</f>
        <v/>
      </c>
      <c r="F130" s="1531" t="str">
        <f>FHD_P_84</f>
        <v/>
      </c>
      <c r="G130" s="1885" t="s">
        <v>469</v>
      </c>
      <c r="H130" s="408"/>
      <c r="I130" s="408"/>
      <c r="J130" s="296" t="str">
        <f>FHD_NOTE_P_84</f>
        <v/>
      </c>
      <c r="K130" s="550"/>
      <c r="AF130" s="1638">
        <v>0</v>
      </c>
    </row>
    <row customHeight="1" ht="11.549999999999999">
      <c r="D131" s="1645"/>
      <c r="AF131" s="1638">
        <v>11</v>
      </c>
    </row>
    <row customHeight="1" ht="13.5">
      <c r="D132" s="1645"/>
      <c r="E132" s="343"/>
      <c r="F132" s="376"/>
      <c r="G132" s="376"/>
      <c r="H132" s="376"/>
      <c r="I132" s="1654"/>
      <c r="J132" s="588"/>
      <c r="AF132" s="1638">
        <v>13</v>
      </c>
    </row>
    <row s="1648" customFormat="1" customHeight="1" ht="11.549999999999999">
      <c r="A133" s="994"/>
      <c r="B133" s="1643"/>
      <c r="C133" s="1643"/>
      <c r="D133" s="358"/>
      <c r="F133" s="1647"/>
      <c r="G133" s="1638"/>
      <c r="H133" s="1638"/>
      <c r="I133" s="1638"/>
      <c r="K133" s="1167"/>
      <c r="L133" s="1643"/>
      <c r="M133" s="1643"/>
      <c r="N133" s="1167"/>
      <c r="O133" s="1167"/>
      <c r="P133" s="1167"/>
      <c r="Q133" s="1167"/>
      <c r="R133" s="1643"/>
      <c r="S133" s="1167"/>
      <c r="T133" s="1167"/>
      <c r="U133" s="551"/>
      <c r="V133" s="1167"/>
      <c r="W133" s="1167"/>
      <c r="X133" s="1167"/>
      <c r="Y133" s="1167"/>
      <c r="Z133" s="1167"/>
      <c r="AA133" s="1639"/>
      <c r="AB133" s="573"/>
      <c r="AC133" s="573"/>
      <c r="AD133" s="573"/>
      <c r="AE133" s="573"/>
      <c r="AF133" s="1648">
        <v>11</v>
      </c>
    </row>
    <row s="1648" customFormat="1" customHeight="1" ht="11.549999999999999">
      <c r="A134" s="994"/>
      <c r="B134" s="1643"/>
      <c r="C134" s="1643"/>
      <c r="D134" s="358"/>
      <c r="K134" s="1167"/>
      <c r="L134" s="1643"/>
      <c r="M134" s="1643"/>
      <c r="N134" s="1167"/>
      <c r="O134" s="1167"/>
      <c r="P134" s="1167"/>
      <c r="Q134" s="1167"/>
      <c r="R134" s="1643"/>
      <c r="S134" s="1167"/>
      <c r="T134" s="1167"/>
      <c r="U134" s="551"/>
      <c r="V134" s="1167"/>
      <c r="W134" s="1167"/>
      <c r="X134" s="1167"/>
      <c r="Y134" s="1167"/>
      <c r="Z134" s="1167"/>
      <c r="AA134" s="1639"/>
      <c r="AB134" s="573"/>
      <c r="AC134" s="573"/>
      <c r="AD134" s="573"/>
      <c r="AE134" s="573"/>
      <c r="AF134" s="1648">
        <v>11</v>
      </c>
    </row>
    <row s="1648" customFormat="1" customHeight="1" ht="11.549999999999999">
      <c r="A135" s="994"/>
      <c r="B135" s="1643"/>
      <c r="C135" s="1643"/>
      <c r="D135" s="358"/>
      <c r="K135" s="1167"/>
      <c r="L135" s="1643"/>
      <c r="M135" s="1643"/>
      <c r="N135" s="1167"/>
      <c r="O135" s="1167"/>
      <c r="P135" s="1167"/>
      <c r="Q135" s="1167"/>
      <c r="R135" s="1643"/>
      <c r="S135" s="1167"/>
      <c r="T135" s="1167"/>
      <c r="U135" s="551"/>
      <c r="V135" s="1167"/>
      <c r="W135" s="1167"/>
      <c r="X135" s="1167"/>
      <c r="Y135" s="1167"/>
      <c r="Z135" s="1167"/>
      <c r="AA135" s="1639"/>
      <c r="AB135" s="573"/>
      <c r="AC135" s="573"/>
      <c r="AD135" s="573"/>
      <c r="AE135" s="573"/>
      <c r="AF135" s="1648">
        <v>11</v>
      </c>
    </row>
    <row s="1648" customFormat="1" customHeight="1" ht="11.549999999999999">
      <c r="A136" s="994"/>
      <c r="B136" s="1643"/>
      <c r="C136" s="1643"/>
      <c r="D136" s="358"/>
      <c r="H136" s="573" t="str">
        <f>IF(H30-H31&lt;&gt;H72,"WARNING","")</f>
        <v/>
      </c>
      <c r="I136" s="573" t="str">
        <f>IF(I30-I31&lt;&gt;I72,"WARNING","")</f>
        <v/>
      </c>
      <c r="K136" s="1167"/>
      <c r="L136" s="1643"/>
      <c r="M136" s="1643"/>
      <c r="N136" s="1167"/>
      <c r="O136" s="1167"/>
      <c r="P136" s="1167"/>
      <c r="Q136" s="1167"/>
      <c r="R136" s="1643"/>
      <c r="S136" s="1167"/>
      <c r="T136" s="1167"/>
      <c r="U136" s="551"/>
      <c r="V136" s="1167"/>
      <c r="W136" s="1167"/>
      <c r="X136" s="1167"/>
      <c r="Y136" s="1167"/>
      <c r="Z136" s="1167"/>
      <c r="AA136" s="1639"/>
      <c r="AB136" s="573"/>
      <c r="AC136" s="573"/>
      <c r="AD136" s="573"/>
      <c r="AE136" s="573"/>
      <c r="AF136" s="1648">
        <v>11</v>
      </c>
    </row>
    <row s="1648" customFormat="1" customHeight="1" ht="11.549999999999999">
      <c r="A137" s="994"/>
      <c r="B137" s="1643"/>
      <c r="C137" s="1643"/>
      <c r="D137" s="358"/>
      <c r="K137" s="1167"/>
      <c r="L137" s="1643"/>
      <c r="M137" s="1643"/>
      <c r="N137" s="1167"/>
      <c r="O137" s="1167"/>
      <c r="P137" s="1167"/>
      <c r="Q137" s="1167"/>
      <c r="R137" s="1643"/>
      <c r="S137" s="1167"/>
      <c r="T137" s="1167"/>
      <c r="U137" s="551"/>
      <c r="V137" s="1167"/>
      <c r="W137" s="1167"/>
      <c r="X137" s="1167"/>
      <c r="Y137" s="1167"/>
      <c r="Z137" s="1167"/>
      <c r="AA137" s="1639"/>
      <c r="AB137" s="573"/>
      <c r="AC137" s="573"/>
      <c r="AD137" s="573"/>
      <c r="AE137" s="573"/>
      <c r="AF137" s="1648">
        <v>11</v>
      </c>
    </row>
    <row s="1648" customFormat="1" customHeight="1" ht="11.549999999999999">
      <c r="A138" s="994"/>
      <c r="B138" s="1643"/>
      <c r="C138" s="1643"/>
      <c r="D138" s="358"/>
      <c r="K138" s="1167"/>
      <c r="L138" s="1643"/>
      <c r="M138" s="1643"/>
      <c r="N138" s="1167"/>
      <c r="O138" s="1167"/>
      <c r="P138" s="1167"/>
      <c r="Q138" s="1167"/>
      <c r="R138" s="1643"/>
      <c r="S138" s="1167"/>
      <c r="T138" s="1167"/>
      <c r="U138" s="551"/>
      <c r="V138" s="1167"/>
      <c r="W138" s="1167"/>
      <c r="X138" s="1167"/>
      <c r="Y138" s="1167"/>
      <c r="Z138" s="1167"/>
      <c r="AA138" s="1639"/>
      <c r="AB138" s="573"/>
      <c r="AC138" s="573"/>
      <c r="AD138" s="573"/>
      <c r="AE138" s="573"/>
      <c r="AF138" s="1648">
        <v>11</v>
      </c>
    </row>
    <row s="1648" customFormat="1" customHeight="1" ht="11.549999999999999">
      <c r="A139" s="994"/>
      <c r="B139" s="1643"/>
      <c r="C139" s="1643"/>
      <c r="D139" s="358"/>
      <c r="K139" s="1167"/>
      <c r="L139" s="1643"/>
      <c r="M139" s="1643"/>
      <c r="N139" s="1167"/>
      <c r="O139" s="1167"/>
      <c r="P139" s="1167"/>
      <c r="Q139" s="1167"/>
      <c r="R139" s="1643"/>
      <c r="S139" s="1167"/>
      <c r="T139" s="1167"/>
      <c r="U139" s="551"/>
      <c r="V139" s="1167"/>
      <c r="W139" s="1167"/>
      <c r="X139" s="1167"/>
      <c r="Y139" s="1167"/>
      <c r="Z139" s="1167"/>
      <c r="AA139" s="1639"/>
      <c r="AB139" s="573"/>
      <c r="AC139" s="573"/>
      <c r="AD139" s="573"/>
      <c r="AE139" s="573"/>
      <c r="AF139" s="1648">
        <v>11</v>
      </c>
    </row>
    <row s="1648" customFormat="1" customHeight="1" ht="11.549999999999999">
      <c r="A140" s="994"/>
      <c r="B140" s="1643"/>
      <c r="C140" s="1643"/>
      <c r="D140" s="358"/>
      <c r="K140" s="1167"/>
      <c r="L140" s="1643"/>
      <c r="M140" s="1643"/>
      <c r="N140" s="1167"/>
      <c r="O140" s="1167"/>
      <c r="P140" s="1167"/>
      <c r="Q140" s="1167"/>
      <c r="R140" s="1643"/>
      <c r="S140" s="1167"/>
      <c r="T140" s="1167"/>
      <c r="U140" s="551"/>
      <c r="V140" s="1167"/>
      <c r="W140" s="1167"/>
      <c r="X140" s="1167"/>
      <c r="Y140" s="1167"/>
      <c r="Z140" s="1167"/>
      <c r="AA140" s="1639"/>
      <c r="AB140" s="573"/>
      <c r="AC140" s="573"/>
      <c r="AD140" s="573"/>
      <c r="AE140" s="573"/>
      <c r="AF140" s="1648">
        <v>11</v>
      </c>
    </row>
    <row s="1648" customFormat="1" customHeight="1" ht="11.549999999999999">
      <c r="A141" s="994"/>
      <c r="B141" s="1643"/>
      <c r="C141" s="1643"/>
      <c r="D141" s="358"/>
      <c r="K141" s="1167"/>
      <c r="L141" s="1643"/>
      <c r="M141" s="1643"/>
      <c r="N141" s="1167"/>
      <c r="O141" s="1167"/>
      <c r="P141" s="1167"/>
      <c r="Q141" s="1167"/>
      <c r="R141" s="1643"/>
      <c r="S141" s="1167"/>
      <c r="T141" s="1167"/>
      <c r="U141" s="551"/>
      <c r="V141" s="1167"/>
      <c r="W141" s="1167"/>
      <c r="X141" s="1167"/>
      <c r="Y141" s="1167"/>
      <c r="Z141" s="1167"/>
      <c r="AA141" s="1639"/>
      <c r="AB141" s="573"/>
      <c r="AC141" s="573"/>
      <c r="AD141" s="573"/>
      <c r="AE141" s="573"/>
      <c r="AF141" s="1648">
        <v>11</v>
      </c>
    </row>
    <row s="1648" customFormat="1" customHeight="1" ht="11.549999999999999">
      <c r="A142" s="994"/>
      <c r="B142" s="1643"/>
      <c r="C142" s="1643"/>
      <c r="D142" s="358"/>
      <c r="K142" s="1167"/>
      <c r="L142" s="1643"/>
      <c r="M142" s="1643"/>
      <c r="N142" s="1167"/>
      <c r="O142" s="1167"/>
      <c r="P142" s="1167"/>
      <c r="Q142" s="1167"/>
      <c r="R142" s="1643"/>
      <c r="S142" s="1167"/>
      <c r="T142" s="1167"/>
      <c r="U142" s="551"/>
      <c r="V142" s="1167"/>
      <c r="W142" s="1167"/>
      <c r="X142" s="1167"/>
      <c r="Y142" s="1167"/>
      <c r="Z142" s="1167"/>
      <c r="AA142" s="1639"/>
      <c r="AB142" s="573"/>
      <c r="AC142" s="573"/>
      <c r="AD142" s="573"/>
      <c r="AE142" s="573"/>
      <c r="AF142" s="1648">
        <v>11</v>
      </c>
    </row>
    <row s="1648" customFormat="1" customHeight="1" ht="11.549999999999999">
      <c r="A143" s="994"/>
      <c r="B143" s="1643"/>
      <c r="C143" s="1643"/>
      <c r="D143" s="358"/>
      <c r="K143" s="1167"/>
      <c r="L143" s="1643"/>
      <c r="M143" s="1643"/>
      <c r="N143" s="1167"/>
      <c r="O143" s="1167"/>
      <c r="P143" s="1167"/>
      <c r="Q143" s="1167"/>
      <c r="R143" s="1643"/>
      <c r="S143" s="1167"/>
      <c r="T143" s="1167"/>
      <c r="U143" s="551"/>
      <c r="V143" s="1167"/>
      <c r="W143" s="1167"/>
      <c r="X143" s="1167"/>
      <c r="Y143" s="1167"/>
      <c r="Z143" s="1167"/>
      <c r="AA143" s="1639"/>
      <c r="AB143" s="573"/>
      <c r="AC143" s="573"/>
      <c r="AD143" s="573"/>
      <c r="AE143" s="573"/>
      <c r="AF143" s="1648">
        <v>11</v>
      </c>
    </row>
    <row s="1648" customFormat="1" customHeight="1" ht="11.549999999999999">
      <c r="A144" s="994"/>
      <c r="B144" s="1643"/>
      <c r="C144" s="1643"/>
      <c r="D144" s="358"/>
      <c r="K144" s="1167"/>
      <c r="L144" s="1643"/>
      <c r="M144" s="1643"/>
      <c r="N144" s="1167"/>
      <c r="O144" s="1167"/>
      <c r="P144" s="1167"/>
      <c r="Q144" s="1167"/>
      <c r="R144" s="1643"/>
      <c r="S144" s="1167"/>
      <c r="T144" s="1167"/>
      <c r="U144" s="551"/>
      <c r="V144" s="1167"/>
      <c r="W144" s="1167"/>
      <c r="X144" s="1167"/>
      <c r="Y144" s="1167"/>
      <c r="Z144" s="1167"/>
      <c r="AA144" s="1639"/>
      <c r="AB144" s="573"/>
      <c r="AC144" s="573"/>
      <c r="AD144" s="573"/>
      <c r="AE144" s="573"/>
      <c r="AF144" s="1648">
        <v>11</v>
      </c>
    </row>
    <row s="1648" customFormat="1" customHeight="1" ht="11.549999999999999">
      <c r="A145" s="994"/>
      <c r="B145" s="1643"/>
      <c r="C145" s="1643"/>
      <c r="D145" s="358"/>
      <c r="K145" s="1167"/>
      <c r="L145" s="1643"/>
      <c r="M145" s="1643"/>
      <c r="N145" s="1167"/>
      <c r="O145" s="1167"/>
      <c r="P145" s="1167"/>
      <c r="Q145" s="1167"/>
      <c r="R145" s="1643"/>
      <c r="S145" s="1167"/>
      <c r="T145" s="1167"/>
      <c r="U145" s="551"/>
      <c r="V145" s="1167"/>
      <c r="W145" s="1167"/>
      <c r="X145" s="1167"/>
      <c r="Y145" s="1167"/>
      <c r="Z145" s="1167"/>
      <c r="AA145" s="1639"/>
      <c r="AB145" s="573"/>
      <c r="AC145" s="573"/>
      <c r="AD145" s="573"/>
      <c r="AE145" s="573"/>
      <c r="AF145" s="1648">
        <v>11</v>
      </c>
    </row>
    <row s="1648" customFormat="1" customHeight="1" ht="11.549999999999999">
      <c r="A146" s="994"/>
      <c r="B146" s="1643"/>
      <c r="C146" s="1643"/>
      <c r="D146" s="358"/>
      <c r="K146" s="1167"/>
      <c r="L146" s="1643"/>
      <c r="M146" s="1643"/>
      <c r="N146" s="1167"/>
      <c r="O146" s="1167"/>
      <c r="P146" s="1167"/>
      <c r="Q146" s="1167"/>
      <c r="R146" s="1643"/>
      <c r="S146" s="1167"/>
      <c r="T146" s="1167"/>
      <c r="U146" s="551"/>
      <c r="V146" s="1167"/>
      <c r="W146" s="1167"/>
      <c r="X146" s="1167"/>
      <c r="Y146" s="1167"/>
      <c r="Z146" s="1167"/>
      <c r="AA146" s="1639"/>
      <c r="AB146" s="573"/>
      <c r="AC146" s="573"/>
      <c r="AD146" s="573"/>
      <c r="AE146" s="573"/>
      <c r="AF146" s="1648">
        <v>11</v>
      </c>
    </row>
    <row s="1648" customFormat="1" customHeight="1" ht="11.549999999999999">
      <c r="A147" s="994"/>
      <c r="B147" s="1643"/>
      <c r="C147" s="1643"/>
      <c r="D147" s="358"/>
      <c r="K147" s="1167"/>
      <c r="L147" s="1643"/>
      <c r="M147" s="1643"/>
      <c r="N147" s="1167"/>
      <c r="O147" s="1167"/>
      <c r="P147" s="1167"/>
      <c r="Q147" s="1167"/>
      <c r="R147" s="1643"/>
      <c r="S147" s="1167"/>
      <c r="T147" s="1167"/>
      <c r="U147" s="551"/>
      <c r="V147" s="1167"/>
      <c r="W147" s="1167"/>
      <c r="X147" s="1167"/>
      <c r="Y147" s="1167"/>
      <c r="Z147" s="1167"/>
      <c r="AA147" s="1639"/>
      <c r="AB147" s="573"/>
      <c r="AC147" s="573"/>
      <c r="AD147" s="573"/>
      <c r="AE147" s="573"/>
      <c r="AF147" s="1648">
        <v>11</v>
      </c>
    </row>
    <row s="1648" customFormat="1" customHeight="1" ht="11.549999999999999">
      <c r="A148" s="994"/>
      <c r="B148" s="1643"/>
      <c r="C148" s="1643"/>
      <c r="D148" s="358"/>
      <c r="K148" s="1167"/>
      <c r="L148" s="1643"/>
      <c r="M148" s="1643"/>
      <c r="N148" s="1167"/>
      <c r="O148" s="1167"/>
      <c r="P148" s="1167"/>
      <c r="Q148" s="1167"/>
      <c r="R148" s="1643"/>
      <c r="S148" s="1167"/>
      <c r="T148" s="1167"/>
      <c r="U148" s="551"/>
      <c r="V148" s="1167"/>
      <c r="W148" s="1167"/>
      <c r="X148" s="1167"/>
      <c r="Y148" s="1167"/>
      <c r="Z148" s="1167"/>
      <c r="AA148" s="1639"/>
      <c r="AB148" s="573"/>
      <c r="AC148" s="573"/>
      <c r="AD148" s="573"/>
      <c r="AE148" s="573"/>
      <c r="AF148" s="1648">
        <v>11</v>
      </c>
    </row>
    <row s="1648" customFormat="1" customHeight="1" ht="11.549999999999999">
      <c r="A149" s="994"/>
      <c r="B149" s="1643"/>
      <c r="C149" s="1643"/>
      <c r="D149" s="358"/>
      <c r="K149" s="1167"/>
      <c r="L149" s="1643"/>
      <c r="M149" s="1643"/>
      <c r="N149" s="1167"/>
      <c r="O149" s="1167"/>
      <c r="P149" s="1167"/>
      <c r="Q149" s="1167"/>
      <c r="R149" s="1643"/>
      <c r="S149" s="1167"/>
      <c r="T149" s="1167"/>
      <c r="U149" s="551"/>
      <c r="V149" s="1167"/>
      <c r="W149" s="1167"/>
      <c r="X149" s="1167"/>
      <c r="Y149" s="1167"/>
      <c r="Z149" s="1167"/>
      <c r="AA149" s="1639"/>
      <c r="AB149" s="573"/>
      <c r="AC149" s="573"/>
      <c r="AD149" s="573"/>
      <c r="AE149" s="573"/>
      <c r="AF149" s="1648">
        <v>11</v>
      </c>
    </row>
    <row s="1648" customFormat="1" customHeight="1" ht="11.549999999999999">
      <c r="A150" s="994"/>
      <c r="B150" s="1643"/>
      <c r="C150" s="1643"/>
      <c r="D150" s="358"/>
      <c r="K150" s="1167"/>
      <c r="L150" s="1643"/>
      <c r="M150" s="1643"/>
      <c r="N150" s="1167"/>
      <c r="O150" s="1167"/>
      <c r="P150" s="1167"/>
      <c r="Q150" s="1167"/>
      <c r="R150" s="1643"/>
      <c r="S150" s="1167"/>
      <c r="T150" s="1167"/>
      <c r="U150" s="551"/>
      <c r="V150" s="1167"/>
      <c r="W150" s="1167"/>
      <c r="X150" s="1167"/>
      <c r="Y150" s="1167"/>
      <c r="Z150" s="1167"/>
      <c r="AA150" s="1639"/>
      <c r="AB150" s="573"/>
      <c r="AC150" s="573"/>
      <c r="AD150" s="573"/>
      <c r="AE150" s="573"/>
      <c r="AF150" s="1648">
        <v>11</v>
      </c>
    </row>
    <row s="1648" customFormat="1" customHeight="1" ht="11.549999999999999">
      <c r="A151" s="994"/>
      <c r="B151" s="1643"/>
      <c r="C151" s="1643"/>
      <c r="D151" s="358"/>
      <c r="K151" s="1167"/>
      <c r="L151" s="1643"/>
      <c r="M151" s="1643"/>
      <c r="N151" s="1167"/>
      <c r="O151" s="1167"/>
      <c r="P151" s="1167"/>
      <c r="Q151" s="1167"/>
      <c r="R151" s="1643"/>
      <c r="S151" s="1167"/>
      <c r="T151" s="1167"/>
      <c r="U151" s="551"/>
      <c r="V151" s="1167"/>
      <c r="W151" s="1167"/>
      <c r="X151" s="1167"/>
      <c r="Y151" s="1167"/>
      <c r="Z151" s="1167"/>
      <c r="AA151" s="1639"/>
      <c r="AB151" s="573"/>
      <c r="AC151" s="573"/>
      <c r="AD151" s="573"/>
      <c r="AE151" s="573"/>
      <c r="AF151" s="1648">
        <v>11</v>
      </c>
    </row>
    <row s="1648" customFormat="1" customHeight="1" ht="11.549999999999999">
      <c r="A152" s="994"/>
      <c r="B152" s="1643"/>
      <c r="C152" s="1643"/>
      <c r="D152" s="358"/>
      <c r="K152" s="1167"/>
      <c r="L152" s="1643"/>
      <c r="M152" s="1643"/>
      <c r="N152" s="1167"/>
      <c r="O152" s="1167"/>
      <c r="P152" s="1167"/>
      <c r="Q152" s="1167"/>
      <c r="R152" s="1643"/>
      <c r="S152" s="1167"/>
      <c r="T152" s="1167"/>
      <c r="U152" s="551"/>
      <c r="V152" s="1167"/>
      <c r="W152" s="1167"/>
      <c r="X152" s="1167"/>
      <c r="Y152" s="1167"/>
      <c r="Z152" s="1167"/>
      <c r="AA152" s="1639"/>
      <c r="AB152" s="573"/>
      <c r="AC152" s="573"/>
      <c r="AD152" s="573"/>
      <c r="AE152" s="573"/>
      <c r="AF152" s="1648">
        <v>11</v>
      </c>
    </row>
    <row s="1648" customFormat="1" customHeight="1" ht="11.549999999999999">
      <c r="A153" s="994"/>
      <c r="B153" s="1643"/>
      <c r="C153" s="1643"/>
      <c r="D153" s="358"/>
      <c r="K153" s="1167"/>
      <c r="L153" s="1643"/>
      <c r="M153" s="1643"/>
      <c r="N153" s="1167"/>
      <c r="O153" s="1167"/>
      <c r="P153" s="1167"/>
      <c r="Q153" s="1167"/>
      <c r="R153" s="1643"/>
      <c r="S153" s="1167"/>
      <c r="T153" s="1167"/>
      <c r="U153" s="551"/>
      <c r="V153" s="1167"/>
      <c r="W153" s="1167"/>
      <c r="X153" s="1167"/>
      <c r="Y153" s="1167"/>
      <c r="Z153" s="1167"/>
      <c r="AA153" s="1639"/>
      <c r="AB153" s="573"/>
      <c r="AC153" s="573"/>
      <c r="AD153" s="573"/>
      <c r="AE153" s="573"/>
      <c r="AF153" s="1648">
        <v>11</v>
      </c>
    </row>
    <row s="1648" customFormat="1" customHeight="1" ht="11.549999999999999">
      <c r="A154" s="994"/>
      <c r="B154" s="1643"/>
      <c r="C154" s="1643"/>
      <c r="D154" s="358"/>
      <c r="K154" s="1167"/>
      <c r="L154" s="1643"/>
      <c r="M154" s="1643"/>
      <c r="N154" s="1167"/>
      <c r="O154" s="1167"/>
      <c r="P154" s="1167"/>
      <c r="Q154" s="1167"/>
      <c r="R154" s="1643"/>
      <c r="S154" s="1167"/>
      <c r="T154" s="1167"/>
      <c r="U154" s="551"/>
      <c r="V154" s="1167"/>
      <c r="W154" s="1167"/>
      <c r="X154" s="1167"/>
      <c r="Y154" s="1167"/>
      <c r="Z154" s="1167"/>
      <c r="AA154" s="1639"/>
      <c r="AB154" s="573"/>
      <c r="AC154" s="573"/>
      <c r="AD154" s="573"/>
      <c r="AE154" s="573"/>
      <c r="AF154" s="1648">
        <v>11</v>
      </c>
    </row>
    <row s="1648" customFormat="1" customHeight="1" ht="11.549999999999999">
      <c r="A155" s="994"/>
      <c r="B155" s="1643"/>
      <c r="C155" s="1643"/>
      <c r="D155" s="358"/>
      <c r="K155" s="1167"/>
      <c r="L155" s="1643"/>
      <c r="M155" s="1643"/>
      <c r="N155" s="1167"/>
      <c r="O155" s="1167"/>
      <c r="P155" s="1167"/>
      <c r="Q155" s="1167"/>
      <c r="R155" s="1643"/>
      <c r="S155" s="1167"/>
      <c r="T155" s="1167"/>
      <c r="U155" s="551"/>
      <c r="V155" s="1167"/>
      <c r="W155" s="1167"/>
      <c r="X155" s="1167"/>
      <c r="Y155" s="1167"/>
      <c r="Z155" s="1167"/>
      <c r="AA155" s="1639"/>
      <c r="AB155" s="573"/>
      <c r="AC155" s="573"/>
      <c r="AD155" s="573"/>
      <c r="AE155" s="573"/>
      <c r="AF155" s="1648">
        <v>11</v>
      </c>
    </row>
    <row s="1648" customFormat="1" customHeight="1" ht="11.549999999999999">
      <c r="A156" s="994"/>
      <c r="B156" s="1643"/>
      <c r="C156" s="1643"/>
      <c r="D156" s="358"/>
      <c r="K156" s="1167"/>
      <c r="L156" s="1643"/>
      <c r="M156" s="1643"/>
      <c r="N156" s="1167"/>
      <c r="O156" s="1167"/>
      <c r="P156" s="1167"/>
      <c r="Q156" s="1167"/>
      <c r="R156" s="1643"/>
      <c r="S156" s="1167"/>
      <c r="T156" s="1167"/>
      <c r="U156" s="551"/>
      <c r="V156" s="1167"/>
      <c r="W156" s="1167"/>
      <c r="X156" s="1167"/>
      <c r="Y156" s="1167"/>
      <c r="Z156" s="1167"/>
      <c r="AA156" s="1639"/>
      <c r="AB156" s="573"/>
      <c r="AC156" s="573"/>
      <c r="AD156" s="573"/>
      <c r="AE156" s="573"/>
      <c r="AF156" s="1648">
        <v>11</v>
      </c>
    </row>
    <row s="1648" customFormat="1" customHeight="1" ht="11.549999999999999">
      <c r="A157" s="994"/>
      <c r="B157" s="1643"/>
      <c r="C157" s="1643"/>
      <c r="D157" s="358"/>
      <c r="K157" s="1167"/>
      <c r="L157" s="1643"/>
      <c r="M157" s="1643"/>
      <c r="N157" s="1167"/>
      <c r="O157" s="1167"/>
      <c r="P157" s="1167"/>
      <c r="Q157" s="1167"/>
      <c r="R157" s="1643"/>
      <c r="S157" s="1167"/>
      <c r="T157" s="1167"/>
      <c r="U157" s="551"/>
      <c r="V157" s="1167"/>
      <c r="W157" s="1167"/>
      <c r="X157" s="1167"/>
      <c r="Y157" s="1167"/>
      <c r="Z157" s="1167"/>
      <c r="AA157" s="1639"/>
      <c r="AB157" s="573"/>
      <c r="AC157" s="573"/>
      <c r="AD157" s="573"/>
      <c r="AE157" s="573"/>
      <c r="AF157" s="1648">
        <v>11</v>
      </c>
    </row>
    <row s="1648" customFormat="1" customHeight="1" ht="11.549999999999999">
      <c r="A158" s="994"/>
      <c r="B158" s="1643"/>
      <c r="C158" s="1643"/>
      <c r="D158" s="358"/>
      <c r="K158" s="1167"/>
      <c r="L158" s="1643"/>
      <c r="M158" s="1643"/>
      <c r="N158" s="1167"/>
      <c r="O158" s="1167"/>
      <c r="P158" s="1167"/>
      <c r="Q158" s="1167"/>
      <c r="R158" s="1643"/>
      <c r="S158" s="1167"/>
      <c r="T158" s="1167"/>
      <c r="U158" s="551"/>
      <c r="V158" s="1167"/>
      <c r="W158" s="1167"/>
      <c r="X158" s="1167"/>
      <c r="Y158" s="1167"/>
      <c r="Z158" s="1167"/>
      <c r="AA158" s="1639"/>
      <c r="AB158" s="573"/>
      <c r="AC158" s="573"/>
      <c r="AD158" s="573"/>
      <c r="AE158" s="573"/>
      <c r="AF158" s="1648">
        <v>11</v>
      </c>
    </row>
    <row s="1648" customFormat="1" customHeight="1" ht="11.549999999999999">
      <c r="A159" s="994"/>
      <c r="B159" s="1643"/>
      <c r="C159" s="1643"/>
      <c r="D159" s="358"/>
      <c r="K159" s="1167"/>
      <c r="L159" s="1643"/>
      <c r="M159" s="1643"/>
      <c r="N159" s="1167"/>
      <c r="O159" s="1167"/>
      <c r="P159" s="1167"/>
      <c r="Q159" s="1167"/>
      <c r="R159" s="1643"/>
      <c r="S159" s="1167"/>
      <c r="T159" s="1167"/>
      <c r="U159" s="551"/>
      <c r="V159" s="1167"/>
      <c r="W159" s="1167"/>
      <c r="X159" s="1167"/>
      <c r="Y159" s="1167"/>
      <c r="Z159" s="1167"/>
      <c r="AA159" s="1639"/>
      <c r="AB159" s="573"/>
      <c r="AC159" s="573"/>
      <c r="AD159" s="573"/>
      <c r="AE159" s="573"/>
      <c r="AF159" s="1648">
        <v>11</v>
      </c>
    </row>
    <row s="1648" customFormat="1" customHeight="1" ht="11.549999999999999">
      <c r="A160" s="994"/>
      <c r="B160" s="1643"/>
      <c r="C160" s="1643"/>
      <c r="D160" s="358"/>
      <c r="K160" s="1167"/>
      <c r="L160" s="1643"/>
      <c r="M160" s="1643"/>
      <c r="N160" s="1167"/>
      <c r="O160" s="1167"/>
      <c r="P160" s="1167"/>
      <c r="Q160" s="1167"/>
      <c r="R160" s="1643"/>
      <c r="S160" s="1167"/>
      <c r="T160" s="1167"/>
      <c r="U160" s="551"/>
      <c r="V160" s="1167"/>
      <c r="W160" s="1167"/>
      <c r="X160" s="1167"/>
      <c r="Y160" s="1167"/>
      <c r="Z160" s="1167"/>
      <c r="AA160" s="1639"/>
      <c r="AB160" s="573"/>
      <c r="AC160" s="573"/>
      <c r="AD160" s="573"/>
      <c r="AE160" s="573"/>
      <c r="AF160" s="1648">
        <v>11</v>
      </c>
    </row>
    <row s="1648" customFormat="1" customHeight="1" ht="11.549999999999999">
      <c r="A161" s="994"/>
      <c r="B161" s="1643"/>
      <c r="C161" s="1643"/>
      <c r="D161" s="358"/>
      <c r="K161" s="1167"/>
      <c r="L161" s="1643"/>
      <c r="M161" s="1643"/>
      <c r="N161" s="1167"/>
      <c r="O161" s="1167"/>
      <c r="P161" s="1167"/>
      <c r="Q161" s="1167"/>
      <c r="R161" s="1643"/>
      <c r="S161" s="1167"/>
      <c r="T161" s="1167"/>
      <c r="U161" s="551"/>
      <c r="V161" s="1167"/>
      <c r="W161" s="1167"/>
      <c r="X161" s="1167"/>
      <c r="Y161" s="1167"/>
      <c r="Z161" s="1167"/>
      <c r="AA161" s="1639"/>
      <c r="AB161" s="573"/>
      <c r="AC161" s="573"/>
      <c r="AD161" s="573"/>
      <c r="AE161" s="573"/>
      <c r="AF161" s="1648">
        <v>11</v>
      </c>
    </row>
    <row s="1648" customFormat="1" customHeight="1" ht="11.549999999999999">
      <c r="A162" s="994"/>
      <c r="B162" s="1643"/>
      <c r="C162" s="1643"/>
      <c r="D162" s="358"/>
      <c r="K162" s="1167"/>
      <c r="L162" s="1643"/>
      <c r="M162" s="1643"/>
      <c r="N162" s="1167"/>
      <c r="O162" s="1167"/>
      <c r="P162" s="1167"/>
      <c r="Q162" s="1167"/>
      <c r="R162" s="1643"/>
      <c r="S162" s="1167"/>
      <c r="T162" s="1167"/>
      <c r="U162" s="551"/>
      <c r="V162" s="1167"/>
      <c r="W162" s="1167"/>
      <c r="X162" s="1167"/>
      <c r="Y162" s="1167"/>
      <c r="Z162" s="1167"/>
      <c r="AA162" s="1639"/>
      <c r="AB162" s="573"/>
      <c r="AC162" s="573"/>
      <c r="AD162" s="573"/>
      <c r="AE162" s="573"/>
      <c r="AF162" s="1648">
        <v>11</v>
      </c>
    </row>
    <row s="1648" customFormat="1" customHeight="1" ht="11.549999999999999">
      <c r="A163" s="994"/>
      <c r="B163" s="1643"/>
      <c r="C163" s="1643"/>
      <c r="D163" s="358"/>
      <c r="K163" s="1167"/>
      <c r="L163" s="1643"/>
      <c r="M163" s="1643"/>
      <c r="N163" s="1167"/>
      <c r="O163" s="1167"/>
      <c r="P163" s="1167"/>
      <c r="Q163" s="1167"/>
      <c r="R163" s="1643"/>
      <c r="S163" s="1167"/>
      <c r="T163" s="1167"/>
      <c r="U163" s="551"/>
      <c r="V163" s="1167"/>
      <c r="W163" s="1167"/>
      <c r="X163" s="1167"/>
      <c r="Y163" s="1167"/>
      <c r="Z163" s="1167"/>
      <c r="AA163" s="1639"/>
      <c r="AB163" s="573"/>
      <c r="AC163" s="573"/>
      <c r="AD163" s="573"/>
      <c r="AE163" s="573"/>
      <c r="AF163" s="1648">
        <v>11</v>
      </c>
    </row>
    <row s="1648" customFormat="1" customHeight="1" ht="11.549999999999999">
      <c r="A164" s="994"/>
      <c r="B164" s="1643"/>
      <c r="C164" s="1643"/>
      <c r="D164" s="358"/>
      <c r="K164" s="1167"/>
      <c r="L164" s="1643"/>
      <c r="M164" s="1643"/>
      <c r="N164" s="1167"/>
      <c r="O164" s="1167"/>
      <c r="P164" s="1167"/>
      <c r="Q164" s="1167"/>
      <c r="R164" s="1643"/>
      <c r="S164" s="1167"/>
      <c r="T164" s="1167"/>
      <c r="U164" s="551"/>
      <c r="V164" s="1167"/>
      <c r="W164" s="1167"/>
      <c r="X164" s="1167"/>
      <c r="Y164" s="1167"/>
      <c r="Z164" s="1167"/>
      <c r="AA164" s="1639"/>
      <c r="AB164" s="573"/>
      <c r="AC164" s="573"/>
      <c r="AD164" s="573"/>
      <c r="AE164" s="573"/>
      <c r="AF164" s="1648">
        <v>11</v>
      </c>
    </row>
    <row s="1648" customFormat="1" customHeight="1" ht="11.549999999999999">
      <c r="A165" s="994"/>
      <c r="B165" s="1643"/>
      <c r="C165" s="1643"/>
      <c r="D165" s="358"/>
      <c r="K165" s="1167"/>
      <c r="L165" s="1643"/>
      <c r="M165" s="1643"/>
      <c r="N165" s="1167"/>
      <c r="O165" s="1167"/>
      <c r="P165" s="1167"/>
      <c r="Q165" s="1167"/>
      <c r="R165" s="1643"/>
      <c r="S165" s="1167"/>
      <c r="T165" s="1167"/>
      <c r="U165" s="551"/>
      <c r="V165" s="1167"/>
      <c r="W165" s="1167"/>
      <c r="X165" s="1167"/>
      <c r="Y165" s="1167"/>
      <c r="Z165" s="1167"/>
      <c r="AA165" s="1639"/>
      <c r="AB165" s="573"/>
      <c r="AC165" s="573"/>
      <c r="AD165" s="573"/>
      <c r="AE165" s="573"/>
      <c r="AF165" s="1648">
        <v>11</v>
      </c>
    </row>
    <row s="1648" customFormat="1" customHeight="1" ht="11.549999999999999">
      <c r="A166" s="994"/>
      <c r="B166" s="1643"/>
      <c r="C166" s="1643"/>
      <c r="D166" s="358"/>
      <c r="K166" s="1167"/>
      <c r="L166" s="1643"/>
      <c r="M166" s="1643"/>
      <c r="N166" s="1167"/>
      <c r="O166" s="1167"/>
      <c r="P166" s="1167"/>
      <c r="Q166" s="1167"/>
      <c r="R166" s="1643"/>
      <c r="S166" s="1167"/>
      <c r="T166" s="1167"/>
      <c r="U166" s="551"/>
      <c r="V166" s="1167"/>
      <c r="W166" s="1167"/>
      <c r="X166" s="1167"/>
      <c r="Y166" s="1167"/>
      <c r="Z166" s="1167"/>
      <c r="AA166" s="1639"/>
      <c r="AB166" s="573"/>
      <c r="AC166" s="573"/>
      <c r="AD166" s="573"/>
      <c r="AE166" s="573"/>
      <c r="AF166" s="1648">
        <v>11</v>
      </c>
    </row>
    <row s="1648" customFormat="1" customHeight="1" ht="11.549999999999999">
      <c r="A167" s="994"/>
      <c r="B167" s="1643"/>
      <c r="C167" s="1643"/>
      <c r="D167" s="358"/>
      <c r="K167" s="1167"/>
      <c r="L167" s="1643"/>
      <c r="M167" s="1643"/>
      <c r="N167" s="1167"/>
      <c r="O167" s="1167"/>
      <c r="P167" s="1167"/>
      <c r="Q167" s="1167"/>
      <c r="R167" s="1643"/>
      <c r="S167" s="1167"/>
      <c r="T167" s="1167"/>
      <c r="U167" s="551"/>
      <c r="V167" s="1167"/>
      <c r="W167" s="1167"/>
      <c r="X167" s="1167"/>
      <c r="Y167" s="1167"/>
      <c r="Z167" s="1167"/>
      <c r="AA167" s="1639"/>
      <c r="AB167" s="573"/>
      <c r="AC167" s="573"/>
      <c r="AD167" s="573"/>
      <c r="AE167" s="573"/>
      <c r="AF167" s="1648">
        <v>11</v>
      </c>
    </row>
    <row s="1648" customFormat="1" customHeight="1" ht="11.549999999999999">
      <c r="A168" s="994"/>
      <c r="B168" s="1643"/>
      <c r="C168" s="1643"/>
      <c r="D168" s="358"/>
      <c r="K168" s="1167"/>
      <c r="L168" s="1643"/>
      <c r="M168" s="1643"/>
      <c r="N168" s="1167"/>
      <c r="O168" s="1167"/>
      <c r="P168" s="1167"/>
      <c r="Q168" s="1167"/>
      <c r="R168" s="1643"/>
      <c r="S168" s="1167"/>
      <c r="T168" s="1167"/>
      <c r="U168" s="551"/>
      <c r="V168" s="1167"/>
      <c r="W168" s="1167"/>
      <c r="X168" s="1167"/>
      <c r="Y168" s="1167"/>
      <c r="Z168" s="1167"/>
      <c r="AA168" s="1639"/>
      <c r="AB168" s="573"/>
      <c r="AC168" s="573"/>
      <c r="AD168" s="573"/>
      <c r="AE168" s="573"/>
      <c r="AF168" s="1648">
        <v>11</v>
      </c>
    </row>
    <row s="1648" customFormat="1" customHeight="1" ht="11.549999999999999">
      <c r="A169" s="994"/>
      <c r="B169" s="1643"/>
      <c r="C169" s="1643"/>
      <c r="D169" s="358"/>
      <c r="K169" s="1167"/>
      <c r="L169" s="1643"/>
      <c r="M169" s="1643"/>
      <c r="N169" s="1167"/>
      <c r="O169" s="1167"/>
      <c r="P169" s="1167"/>
      <c r="Q169" s="1167"/>
      <c r="R169" s="1643"/>
      <c r="S169" s="1167"/>
      <c r="T169" s="1167"/>
      <c r="U169" s="551"/>
      <c r="V169" s="1167"/>
      <c r="W169" s="1167"/>
      <c r="X169" s="1167"/>
      <c r="Y169" s="1167"/>
      <c r="Z169" s="1167"/>
      <c r="AA169" s="1639"/>
      <c r="AB169" s="573"/>
      <c r="AC169" s="573"/>
      <c r="AD169" s="573"/>
      <c r="AE169" s="573"/>
      <c r="AF169" s="1648">
        <v>11</v>
      </c>
    </row>
    <row s="1648" customFormat="1" customHeight="1" ht="11.549999999999999">
      <c r="A170" s="994"/>
      <c r="B170" s="1643"/>
      <c r="C170" s="1643"/>
      <c r="D170" s="358"/>
      <c r="K170" s="1167"/>
      <c r="L170" s="1643"/>
      <c r="M170" s="1643"/>
      <c r="N170" s="1167"/>
      <c r="O170" s="1167"/>
      <c r="P170" s="1167"/>
      <c r="Q170" s="1167"/>
      <c r="R170" s="1643"/>
      <c r="S170" s="1167"/>
      <c r="T170" s="1167"/>
      <c r="U170" s="551"/>
      <c r="V170" s="1167"/>
      <c r="W170" s="1167"/>
      <c r="X170" s="1167"/>
      <c r="Y170" s="1167"/>
      <c r="Z170" s="1167"/>
      <c r="AA170" s="1639"/>
      <c r="AB170" s="573"/>
      <c r="AC170" s="573"/>
      <c r="AD170" s="573"/>
      <c r="AE170" s="573"/>
      <c r="AF170" s="1648">
        <v>11</v>
      </c>
    </row>
    <row s="1648" customFormat="1" customHeight="1" ht="11.549999999999999">
      <c r="A171" s="994"/>
      <c r="B171" s="1643"/>
      <c r="C171" s="1643"/>
      <c r="D171" s="358"/>
      <c r="K171" s="1167"/>
      <c r="L171" s="1643"/>
      <c r="M171" s="1643"/>
      <c r="N171" s="1167"/>
      <c r="O171" s="1167"/>
      <c r="P171" s="1167"/>
      <c r="Q171" s="1167"/>
      <c r="R171" s="1643"/>
      <c r="S171" s="1167"/>
      <c r="T171" s="1167"/>
      <c r="U171" s="551"/>
      <c r="V171" s="1167"/>
      <c r="W171" s="1167"/>
      <c r="X171" s="1167"/>
      <c r="Y171" s="1167"/>
      <c r="Z171" s="1167"/>
      <c r="AA171" s="1639"/>
      <c r="AB171" s="573"/>
      <c r="AC171" s="573"/>
      <c r="AD171" s="573"/>
      <c r="AE171" s="573"/>
      <c r="AF171" s="1648">
        <v>11</v>
      </c>
    </row>
    <row s="1648" customFormat="1" customHeight="1" ht="11.549999999999999">
      <c r="A172" s="994"/>
      <c r="B172" s="1643"/>
      <c r="C172" s="1643"/>
      <c r="D172" s="358"/>
      <c r="K172" s="1167"/>
      <c r="L172" s="1643"/>
      <c r="M172" s="1643"/>
      <c r="N172" s="1167"/>
      <c r="O172" s="1167"/>
      <c r="P172" s="1167"/>
      <c r="Q172" s="1167"/>
      <c r="R172" s="1643"/>
      <c r="S172" s="1167"/>
      <c r="T172" s="1167"/>
      <c r="U172" s="551"/>
      <c r="V172" s="1167"/>
      <c r="W172" s="1167"/>
      <c r="X172" s="1167"/>
      <c r="Y172" s="1167"/>
      <c r="Z172" s="1167"/>
      <c r="AA172" s="1639"/>
      <c r="AB172" s="573"/>
      <c r="AC172" s="573"/>
      <c r="AD172" s="573"/>
      <c r="AE172" s="573"/>
      <c r="AF172" s="1648">
        <v>11</v>
      </c>
    </row>
    <row s="1648" customFormat="1" customHeight="1" ht="11.549999999999999">
      <c r="A173" s="994"/>
      <c r="B173" s="1643"/>
      <c r="C173" s="1643"/>
      <c r="D173" s="358"/>
      <c r="K173" s="1167"/>
      <c r="L173" s="1643"/>
      <c r="M173" s="1643"/>
      <c r="N173" s="1167"/>
      <c r="O173" s="1167"/>
      <c r="P173" s="1167"/>
      <c r="Q173" s="1167"/>
      <c r="R173" s="1643"/>
      <c r="S173" s="1167"/>
      <c r="T173" s="1167"/>
      <c r="U173" s="551"/>
      <c r="V173" s="1167"/>
      <c r="W173" s="1167"/>
      <c r="X173" s="1167"/>
      <c r="Y173" s="1167"/>
      <c r="Z173" s="1167"/>
      <c r="AA173" s="1639"/>
      <c r="AB173" s="573"/>
      <c r="AC173" s="573"/>
      <c r="AD173" s="573"/>
      <c r="AE173" s="573"/>
      <c r="AF173" s="1648">
        <v>11</v>
      </c>
    </row>
    <row s="1648" customFormat="1" customHeight="1" ht="11.549999999999999">
      <c r="A174" s="994"/>
      <c r="B174" s="1643"/>
      <c r="C174" s="1643"/>
      <c r="D174" s="358"/>
      <c r="K174" s="1167"/>
      <c r="L174" s="1643"/>
      <c r="M174" s="1643"/>
      <c r="N174" s="1167"/>
      <c r="O174" s="1167"/>
      <c r="P174" s="1167"/>
      <c r="Q174" s="1167"/>
      <c r="R174" s="1643"/>
      <c r="S174" s="1167"/>
      <c r="T174" s="1167"/>
      <c r="U174" s="551"/>
      <c r="V174" s="1167"/>
      <c r="W174" s="1167"/>
      <c r="X174" s="1167"/>
      <c r="Y174" s="1167"/>
      <c r="Z174" s="1167"/>
      <c r="AA174" s="1639"/>
      <c r="AB174" s="573"/>
      <c r="AC174" s="573"/>
      <c r="AD174" s="573"/>
      <c r="AE174" s="573"/>
      <c r="AF174" s="1648">
        <v>11</v>
      </c>
    </row>
    <row s="1648" customFormat="1" customHeight="1" ht="11.549999999999999">
      <c r="A175" s="994"/>
      <c r="B175" s="1643"/>
      <c r="C175" s="1643"/>
      <c r="D175" s="358"/>
      <c r="K175" s="1167"/>
      <c r="L175" s="1643"/>
      <c r="M175" s="1643"/>
      <c r="N175" s="1167"/>
      <c r="O175" s="1167"/>
      <c r="P175" s="1167"/>
      <c r="Q175" s="1167"/>
      <c r="R175" s="1643"/>
      <c r="S175" s="1167"/>
      <c r="T175" s="1167"/>
      <c r="U175" s="551"/>
      <c r="V175" s="1167"/>
      <c r="W175" s="1167"/>
      <c r="X175" s="1167"/>
      <c r="Y175" s="1167"/>
      <c r="Z175" s="1167"/>
      <c r="AA175" s="1639"/>
      <c r="AB175" s="573"/>
      <c r="AC175" s="573"/>
      <c r="AD175" s="573"/>
      <c r="AE175" s="573"/>
      <c r="AF175" s="1648">
        <v>11</v>
      </c>
    </row>
    <row s="1648" customFormat="1" customHeight="1" ht="11.549999999999999">
      <c r="A176" s="994"/>
      <c r="B176" s="1643"/>
      <c r="C176" s="1643"/>
      <c r="D176" s="358"/>
      <c r="K176" s="1167"/>
      <c r="L176" s="1643"/>
      <c r="M176" s="1643"/>
      <c r="N176" s="1167"/>
      <c r="O176" s="1167"/>
      <c r="P176" s="1167"/>
      <c r="Q176" s="1167"/>
      <c r="R176" s="1643"/>
      <c r="S176" s="1167"/>
      <c r="T176" s="1167"/>
      <c r="U176" s="551"/>
      <c r="V176" s="1167"/>
      <c r="W176" s="1167"/>
      <c r="X176" s="1167"/>
      <c r="Y176" s="1167"/>
      <c r="Z176" s="1167"/>
      <c r="AA176" s="1639"/>
      <c r="AB176" s="573"/>
      <c r="AC176" s="573"/>
      <c r="AD176" s="573"/>
      <c r="AE176" s="573"/>
      <c r="AF176" s="1648">
        <v>11</v>
      </c>
    </row>
    <row s="1648" customFormat="1" customHeight="1" ht="11.549999999999999">
      <c r="A177" s="994"/>
      <c r="B177" s="1643"/>
      <c r="C177" s="1643"/>
      <c r="D177" s="358"/>
      <c r="K177" s="1167"/>
      <c r="L177" s="1643"/>
      <c r="M177" s="1643"/>
      <c r="N177" s="1167"/>
      <c r="O177" s="1167"/>
      <c r="P177" s="1167"/>
      <c r="Q177" s="1167"/>
      <c r="R177" s="1643"/>
      <c r="S177" s="1167"/>
      <c r="T177" s="1167"/>
      <c r="U177" s="551"/>
      <c r="V177" s="1167"/>
      <c r="W177" s="1167"/>
      <c r="X177" s="1167"/>
      <c r="Y177" s="1167"/>
      <c r="Z177" s="1167"/>
      <c r="AA177" s="1639"/>
      <c r="AB177" s="573"/>
      <c r="AC177" s="573"/>
      <c r="AD177" s="573"/>
      <c r="AE177" s="573"/>
      <c r="AF177" s="1648">
        <v>11</v>
      </c>
    </row>
    <row s="1648" customFormat="1" customHeight="1" ht="11.549999999999999">
      <c r="A178" s="994"/>
      <c r="B178" s="1643"/>
      <c r="C178" s="1643"/>
      <c r="D178" s="358"/>
      <c r="K178" s="1167"/>
      <c r="L178" s="1643"/>
      <c r="M178" s="1643"/>
      <c r="N178" s="1167"/>
      <c r="O178" s="1167"/>
      <c r="P178" s="1167"/>
      <c r="Q178" s="1167"/>
      <c r="R178" s="1643"/>
      <c r="S178" s="1167"/>
      <c r="T178" s="1167"/>
      <c r="U178" s="551"/>
      <c r="V178" s="1167"/>
      <c r="W178" s="1167"/>
      <c r="X178" s="1167"/>
      <c r="Y178" s="1167"/>
      <c r="Z178" s="1167"/>
      <c r="AA178" s="1639"/>
      <c r="AB178" s="573"/>
      <c r="AC178" s="573"/>
      <c r="AD178" s="573"/>
      <c r="AE178" s="573"/>
      <c r="AF178" s="1648">
        <v>11</v>
      </c>
    </row>
    <row s="1648" customFormat="1" customHeight="1" ht="11.549999999999999">
      <c r="A179" s="994"/>
      <c r="B179" s="1643"/>
      <c r="C179" s="1643"/>
      <c r="D179" s="358"/>
      <c r="K179" s="1167"/>
      <c r="L179" s="1643"/>
      <c r="M179" s="1643"/>
      <c r="N179" s="1167"/>
      <c r="O179" s="1167"/>
      <c r="P179" s="1167"/>
      <c r="Q179" s="1167"/>
      <c r="R179" s="1643"/>
      <c r="S179" s="1167"/>
      <c r="T179" s="1167"/>
      <c r="U179" s="551"/>
      <c r="V179" s="1167"/>
      <c r="W179" s="1167"/>
      <c r="X179" s="1167"/>
      <c r="Y179" s="1167"/>
      <c r="Z179" s="1167"/>
      <c r="AA179" s="1639"/>
      <c r="AB179" s="573"/>
      <c r="AC179" s="573"/>
      <c r="AD179" s="573"/>
      <c r="AE179" s="573"/>
      <c r="AF179" s="1648">
        <v>11</v>
      </c>
    </row>
    <row s="1648" customFormat="1" customHeight="1" ht="11.549999999999999">
      <c r="A180" s="994"/>
      <c r="B180" s="1643"/>
      <c r="C180" s="1643"/>
      <c r="D180" s="358"/>
      <c r="K180" s="1167"/>
      <c r="L180" s="1643"/>
      <c r="M180" s="1643"/>
      <c r="N180" s="1167"/>
      <c r="O180" s="1167"/>
      <c r="P180" s="1167"/>
      <c r="Q180" s="1167"/>
      <c r="R180" s="1643"/>
      <c r="S180" s="1167"/>
      <c r="T180" s="1167"/>
      <c r="U180" s="551"/>
      <c r="V180" s="1167"/>
      <c r="W180" s="1167"/>
      <c r="X180" s="1167"/>
      <c r="Y180" s="1167"/>
      <c r="Z180" s="1167"/>
      <c r="AA180" s="1639"/>
      <c r="AB180" s="573"/>
      <c r="AC180" s="573"/>
      <c r="AD180" s="573"/>
      <c r="AE180" s="573"/>
      <c r="AF180" s="1648">
        <v>11</v>
      </c>
    </row>
    <row s="1648" customFormat="1" customHeight="1" ht="11.549999999999999">
      <c r="A181" s="994"/>
      <c r="B181" s="1643"/>
      <c r="C181" s="1643"/>
      <c r="D181" s="358"/>
      <c r="K181" s="1167"/>
      <c r="L181" s="1643"/>
      <c r="M181" s="1643"/>
      <c r="N181" s="1167"/>
      <c r="O181" s="1167"/>
      <c r="P181" s="1167"/>
      <c r="Q181" s="1167"/>
      <c r="R181" s="1643"/>
      <c r="S181" s="1167"/>
      <c r="T181" s="1167"/>
      <c r="U181" s="551"/>
      <c r="V181" s="1167"/>
      <c r="W181" s="1167"/>
      <c r="X181" s="1167"/>
      <c r="Y181" s="1167"/>
      <c r="Z181" s="1167"/>
      <c r="AA181" s="1639"/>
      <c r="AB181" s="573"/>
      <c r="AC181" s="573"/>
      <c r="AD181" s="573"/>
      <c r="AE181" s="573"/>
      <c r="AF181" s="1648">
        <v>11</v>
      </c>
    </row>
    <row s="1648" customFormat="1" customHeight="1" ht="11.549999999999999">
      <c r="A182" s="994"/>
      <c r="B182" s="1643"/>
      <c r="C182" s="1643"/>
      <c r="D182" s="358"/>
      <c r="K182" s="1167"/>
      <c r="L182" s="1643"/>
      <c r="M182" s="1643"/>
      <c r="N182" s="1167"/>
      <c r="O182" s="1167"/>
      <c r="P182" s="1167"/>
      <c r="Q182" s="1167"/>
      <c r="R182" s="1643"/>
      <c r="S182" s="1167"/>
      <c r="T182" s="1167"/>
      <c r="U182" s="551"/>
      <c r="V182" s="1167"/>
      <c r="W182" s="1167"/>
      <c r="X182" s="1167"/>
      <c r="Y182" s="1167"/>
      <c r="Z182" s="1167"/>
      <c r="AA182" s="1639"/>
      <c r="AB182" s="573"/>
      <c r="AC182" s="573"/>
      <c r="AD182" s="573"/>
      <c r="AE182" s="573"/>
      <c r="AF182" s="1648">
        <v>11</v>
      </c>
    </row>
    <row s="1648" customFormat="1" customHeight="1" ht="11.549999999999999">
      <c r="A183" s="994"/>
      <c r="B183" s="1643"/>
      <c r="C183" s="1643"/>
      <c r="D183" s="358"/>
      <c r="K183" s="1167"/>
      <c r="L183" s="1643"/>
      <c r="M183" s="1643"/>
      <c r="N183" s="1167"/>
      <c r="O183" s="1167"/>
      <c r="P183" s="1167"/>
      <c r="Q183" s="1167"/>
      <c r="R183" s="1643"/>
      <c r="S183" s="1167"/>
      <c r="T183" s="1167"/>
      <c r="U183" s="551"/>
      <c r="V183" s="1167"/>
      <c r="W183" s="1167"/>
      <c r="X183" s="1167"/>
      <c r="Y183" s="1167"/>
      <c r="Z183" s="1167"/>
      <c r="AA183" s="1639"/>
      <c r="AB183" s="573"/>
      <c r="AC183" s="573"/>
      <c r="AD183" s="573"/>
      <c r="AE183" s="573"/>
      <c r="AF183" s="1648">
        <v>11</v>
      </c>
    </row>
    <row s="1648" customFormat="1" customHeight="1" ht="11.549999999999999">
      <c r="A184" s="994"/>
      <c r="B184" s="1643"/>
      <c r="C184" s="1643"/>
      <c r="D184" s="358"/>
      <c r="K184" s="1167"/>
      <c r="L184" s="1643"/>
      <c r="M184" s="1643"/>
      <c r="N184" s="1167"/>
      <c r="O184" s="1167"/>
      <c r="P184" s="1167"/>
      <c r="Q184" s="1167"/>
      <c r="R184" s="1643"/>
      <c r="S184" s="1167"/>
      <c r="T184" s="1167"/>
      <c r="U184" s="551"/>
      <c r="V184" s="1167"/>
      <c r="W184" s="1167"/>
      <c r="X184" s="1167"/>
      <c r="Y184" s="1167"/>
      <c r="Z184" s="1167"/>
      <c r="AA184" s="1639"/>
      <c r="AB184" s="573"/>
      <c r="AC184" s="573"/>
      <c r="AD184" s="573"/>
      <c r="AE184" s="573"/>
      <c r="AF184" s="1648">
        <v>11</v>
      </c>
    </row>
    <row s="1648" customFormat="1" customHeight="1" ht="11.549999999999999">
      <c r="A185" s="994"/>
      <c r="B185" s="1643"/>
      <c r="C185" s="1643"/>
      <c r="D185" s="358"/>
      <c r="K185" s="1167"/>
      <c r="L185" s="1643"/>
      <c r="M185" s="1643"/>
      <c r="N185" s="1167"/>
      <c r="O185" s="1167"/>
      <c r="P185" s="1167"/>
      <c r="Q185" s="1167"/>
      <c r="R185" s="1643"/>
      <c r="S185" s="1167"/>
      <c r="T185" s="1167"/>
      <c r="U185" s="551"/>
      <c r="V185" s="1167"/>
      <c r="W185" s="1167"/>
      <c r="X185" s="1167"/>
      <c r="Y185" s="1167"/>
      <c r="Z185" s="1167"/>
      <c r="AA185" s="1639"/>
      <c r="AB185" s="573"/>
      <c r="AC185" s="573"/>
      <c r="AD185" s="573"/>
      <c r="AE185" s="573"/>
      <c r="AF185" s="1648">
        <v>11</v>
      </c>
    </row>
    <row s="1648" customFormat="1" customHeight="1" ht="11.549999999999999">
      <c r="A186" s="994"/>
      <c r="B186" s="1643"/>
      <c r="C186" s="1643"/>
      <c r="D186" s="358"/>
      <c r="K186" s="1167"/>
      <c r="L186" s="1643"/>
      <c r="M186" s="1643"/>
      <c r="N186" s="1167"/>
      <c r="O186" s="1167"/>
      <c r="P186" s="1167"/>
      <c r="Q186" s="1167"/>
      <c r="R186" s="1643"/>
      <c r="S186" s="1167"/>
      <c r="T186" s="1167"/>
      <c r="U186" s="551"/>
      <c r="V186" s="1167"/>
      <c r="W186" s="1167"/>
      <c r="X186" s="1167"/>
      <c r="Y186" s="1167"/>
      <c r="Z186" s="1167"/>
      <c r="AA186" s="1639"/>
      <c r="AB186" s="573"/>
      <c r="AC186" s="573"/>
      <c r="AD186" s="573"/>
      <c r="AE186" s="573"/>
      <c r="AF186" s="1648">
        <v>11</v>
      </c>
    </row>
    <row s="1648" customFormat="1" customHeight="1" ht="11.549999999999999">
      <c r="A187" s="994"/>
      <c r="B187" s="1643"/>
      <c r="C187" s="1643"/>
      <c r="D187" s="358"/>
      <c r="K187" s="1167"/>
      <c r="L187" s="1643"/>
      <c r="M187" s="1643"/>
      <c r="N187" s="1167"/>
      <c r="O187" s="1167"/>
      <c r="P187" s="1167"/>
      <c r="Q187" s="1167"/>
      <c r="R187" s="1643"/>
      <c r="S187" s="1167"/>
      <c r="T187" s="1167"/>
      <c r="U187" s="551"/>
      <c r="V187" s="1167"/>
      <c r="W187" s="1167"/>
      <c r="X187" s="1167"/>
      <c r="Y187" s="1167"/>
      <c r="Z187" s="1167"/>
      <c r="AA187" s="1639"/>
      <c r="AB187" s="573"/>
      <c r="AC187" s="573"/>
      <c r="AD187" s="573"/>
      <c r="AE187" s="573"/>
      <c r="AF187" s="1648">
        <v>11</v>
      </c>
    </row>
    <row s="1648" customFormat="1" customHeight="1" ht="11.549999999999999">
      <c r="A188" s="994"/>
      <c r="B188" s="1643"/>
      <c r="C188" s="1643"/>
      <c r="D188" s="358"/>
      <c r="K188" s="1167"/>
      <c r="L188" s="1643"/>
      <c r="M188" s="1643"/>
      <c r="N188" s="1167"/>
      <c r="O188" s="1167"/>
      <c r="P188" s="1167"/>
      <c r="Q188" s="1167"/>
      <c r="R188" s="1643"/>
      <c r="S188" s="1167"/>
      <c r="T188" s="1167"/>
      <c r="U188" s="551"/>
      <c r="V188" s="1167"/>
      <c r="W188" s="1167"/>
      <c r="X188" s="1167"/>
      <c r="Y188" s="1167"/>
      <c r="Z188" s="1167"/>
      <c r="AA188" s="1639"/>
      <c r="AB188" s="573"/>
      <c r="AC188" s="573"/>
      <c r="AD188" s="573"/>
      <c r="AE188" s="573"/>
      <c r="AF188" s="1648">
        <v>11</v>
      </c>
    </row>
    <row s="1648" customFormat="1" customHeight="1" ht="11.549999999999999">
      <c r="A189" s="994"/>
      <c r="B189" s="1643"/>
      <c r="C189" s="1643"/>
      <c r="D189" s="358"/>
      <c r="K189" s="1167"/>
      <c r="L189" s="1643"/>
      <c r="M189" s="1643"/>
      <c r="N189" s="1167"/>
      <c r="O189" s="1167"/>
      <c r="P189" s="1167"/>
      <c r="Q189" s="1167"/>
      <c r="R189" s="1643"/>
      <c r="S189" s="1167"/>
      <c r="T189" s="1167"/>
      <c r="U189" s="551"/>
      <c r="V189" s="1167"/>
      <c r="W189" s="1167"/>
      <c r="X189" s="1167"/>
      <c r="Y189" s="1167"/>
      <c r="Z189" s="1167"/>
      <c r="AA189" s="1639"/>
      <c r="AB189" s="573"/>
      <c r="AC189" s="573"/>
      <c r="AD189" s="573"/>
      <c r="AE189" s="573"/>
      <c r="AF189" s="1648">
        <v>11</v>
      </c>
    </row>
    <row s="1648" customFormat="1" customHeight="1" ht="11.549999999999999">
      <c r="A190" s="994"/>
      <c r="B190" s="1643"/>
      <c r="C190" s="1643"/>
      <c r="D190" s="358"/>
      <c r="K190" s="1167"/>
      <c r="L190" s="1643"/>
      <c r="M190" s="1643"/>
      <c r="N190" s="1167"/>
      <c r="O190" s="1167"/>
      <c r="P190" s="1167"/>
      <c r="Q190" s="1167"/>
      <c r="R190" s="1643"/>
      <c r="S190" s="1167"/>
      <c r="T190" s="1167"/>
      <c r="U190" s="551"/>
      <c r="V190" s="1167"/>
      <c r="W190" s="1167"/>
      <c r="X190" s="1167"/>
      <c r="Y190" s="1167"/>
      <c r="Z190" s="1167"/>
      <c r="AA190" s="1639"/>
      <c r="AB190" s="573"/>
      <c r="AC190" s="573"/>
      <c r="AD190" s="573"/>
      <c r="AE190" s="573"/>
      <c r="AF190" s="1648">
        <v>11</v>
      </c>
    </row>
    <row s="1648" customFormat="1" customHeight="1" ht="11.549999999999999">
      <c r="A191" s="994"/>
      <c r="B191" s="1643"/>
      <c r="C191" s="1643"/>
      <c r="D191" s="358"/>
      <c r="K191" s="1167"/>
      <c r="L191" s="1643"/>
      <c r="M191" s="1643"/>
      <c r="N191" s="1167"/>
      <c r="O191" s="1167"/>
      <c r="P191" s="1167"/>
      <c r="Q191" s="1167"/>
      <c r="R191" s="1643"/>
      <c r="S191" s="1167"/>
      <c r="T191" s="1167"/>
      <c r="U191" s="551"/>
      <c r="V191" s="1167"/>
      <c r="W191" s="1167"/>
      <c r="X191" s="1167"/>
      <c r="Y191" s="1167"/>
      <c r="Z191" s="1167"/>
      <c r="AA191" s="1639"/>
      <c r="AB191" s="573"/>
      <c r="AC191" s="573"/>
      <c r="AD191" s="573"/>
      <c r="AE191" s="573"/>
      <c r="AF191" s="1648">
        <v>11</v>
      </c>
    </row>
    <row s="1648" customFormat="1" customHeight="1" ht="11.549999999999999">
      <c r="A192" s="994"/>
      <c r="B192" s="1643"/>
      <c r="C192" s="1643"/>
      <c r="D192" s="358"/>
      <c r="K192" s="1167"/>
      <c r="L192" s="1643"/>
      <c r="M192" s="1643"/>
      <c r="N192" s="1167"/>
      <c r="O192" s="1167"/>
      <c r="P192" s="1167"/>
      <c r="Q192" s="1167"/>
      <c r="R192" s="1643"/>
      <c r="S192" s="1167"/>
      <c r="T192" s="1167"/>
      <c r="U192" s="551"/>
      <c r="V192" s="1167"/>
      <c r="W192" s="1167"/>
      <c r="X192" s="1167"/>
      <c r="Y192" s="1167"/>
      <c r="Z192" s="1167"/>
      <c r="AA192" s="1639"/>
      <c r="AB192" s="573"/>
      <c r="AC192" s="573"/>
      <c r="AD192" s="573"/>
      <c r="AE192" s="573"/>
      <c r="AF192" s="1648">
        <v>11</v>
      </c>
    </row>
    <row s="1648" customFormat="1" customHeight="1" ht="11.549999999999999">
      <c r="A193" s="994"/>
      <c r="B193" s="1643"/>
      <c r="C193" s="1643"/>
      <c r="D193" s="358"/>
      <c r="K193" s="1167"/>
      <c r="L193" s="1643"/>
      <c r="M193" s="1643"/>
      <c r="N193" s="1167"/>
      <c r="O193" s="1167"/>
      <c r="P193" s="1167"/>
      <c r="Q193" s="1167"/>
      <c r="R193" s="1643"/>
      <c r="S193" s="1167"/>
      <c r="T193" s="1167"/>
      <c r="U193" s="551"/>
      <c r="V193" s="1167"/>
      <c r="W193" s="1167"/>
      <c r="X193" s="1167"/>
      <c r="Y193" s="1167"/>
      <c r="Z193" s="1167"/>
      <c r="AA193" s="1639"/>
      <c r="AB193" s="573"/>
      <c r="AC193" s="573"/>
      <c r="AD193" s="573"/>
      <c r="AE193" s="573"/>
      <c r="AF193" s="1648">
        <v>11</v>
      </c>
    </row>
    <row s="1648" customFormat="1" customHeight="1" ht="11.549999999999999">
      <c r="A194" s="994"/>
      <c r="B194" s="1643"/>
      <c r="C194" s="1643"/>
      <c r="D194" s="358"/>
      <c r="K194" s="1167"/>
      <c r="L194" s="1643"/>
      <c r="M194" s="1643"/>
      <c r="N194" s="1167"/>
      <c r="O194" s="1167"/>
      <c r="P194" s="1167"/>
      <c r="Q194" s="1167"/>
      <c r="R194" s="1643"/>
      <c r="S194" s="1167"/>
      <c r="T194" s="1167"/>
      <c r="U194" s="551"/>
      <c r="V194" s="1167"/>
      <c r="W194" s="1167"/>
      <c r="X194" s="1167"/>
      <c r="Y194" s="1167"/>
      <c r="Z194" s="1167"/>
      <c r="AA194" s="1639"/>
      <c r="AB194" s="573"/>
      <c r="AC194" s="573"/>
      <c r="AD194" s="573"/>
      <c r="AE194" s="573"/>
      <c r="AF194" s="1648">
        <v>11</v>
      </c>
    </row>
    <row s="1648" customFormat="1" customHeight="1" ht="11.549999999999999">
      <c r="A195" s="994"/>
      <c r="B195" s="1643"/>
      <c r="C195" s="1643"/>
      <c r="D195" s="358"/>
      <c r="K195" s="1167"/>
      <c r="L195" s="1643"/>
      <c r="M195" s="1643"/>
      <c r="N195" s="1167"/>
      <c r="O195" s="1167"/>
      <c r="P195" s="1167"/>
      <c r="Q195" s="1167"/>
      <c r="R195" s="1643"/>
      <c r="S195" s="1167"/>
      <c r="T195" s="1167"/>
      <c r="U195" s="551"/>
      <c r="V195" s="1167"/>
      <c r="W195" s="1167"/>
      <c r="X195" s="1167"/>
      <c r="Y195" s="1167"/>
      <c r="Z195" s="1167"/>
      <c r="AA195" s="1639"/>
      <c r="AB195" s="573"/>
      <c r="AC195" s="573"/>
      <c r="AD195" s="573"/>
      <c r="AE195" s="573"/>
      <c r="AF195" s="1648">
        <v>11</v>
      </c>
    </row>
    <row s="1648" customFormat="1" customHeight="1" ht="11.549999999999999">
      <c r="A196" s="994"/>
      <c r="B196" s="1643"/>
      <c r="C196" s="1643"/>
      <c r="D196" s="358"/>
      <c r="K196" s="1167"/>
      <c r="L196" s="1643"/>
      <c r="M196" s="1643"/>
      <c r="N196" s="1167"/>
      <c r="O196" s="1167"/>
      <c r="P196" s="1167"/>
      <c r="Q196" s="1167"/>
      <c r="R196" s="1643"/>
      <c r="S196" s="1167"/>
      <c r="T196" s="1167"/>
      <c r="U196" s="551"/>
      <c r="V196" s="1167"/>
      <c r="W196" s="1167"/>
      <c r="X196" s="1167"/>
      <c r="Y196" s="1167"/>
      <c r="Z196" s="1167"/>
      <c r="AA196" s="1639"/>
      <c r="AB196" s="573"/>
      <c r="AC196" s="573"/>
      <c r="AD196" s="573"/>
      <c r="AE196" s="573"/>
      <c r="AF196" s="1648">
        <v>11</v>
      </c>
    </row>
    <row s="1648" customFormat="1" customHeight="1" ht="11.549999999999999">
      <c r="A197" s="994"/>
      <c r="B197" s="1643"/>
      <c r="C197" s="1643"/>
      <c r="D197" s="358"/>
      <c r="K197" s="1167"/>
      <c r="L197" s="1643"/>
      <c r="M197" s="1643"/>
      <c r="N197" s="1167"/>
      <c r="O197" s="1167"/>
      <c r="P197" s="1167"/>
      <c r="Q197" s="1167"/>
      <c r="R197" s="1643"/>
      <c r="S197" s="1167"/>
      <c r="T197" s="1167"/>
      <c r="U197" s="551"/>
      <c r="V197" s="1167"/>
      <c r="W197" s="1167"/>
      <c r="X197" s="1167"/>
      <c r="Y197" s="1167"/>
      <c r="Z197" s="1167"/>
      <c r="AA197" s="1639"/>
      <c r="AB197" s="573"/>
      <c r="AC197" s="573"/>
      <c r="AD197" s="573"/>
      <c r="AE197" s="573"/>
      <c r="AF197" s="1648">
        <v>11</v>
      </c>
    </row>
    <row s="1648" customFormat="1" customHeight="1" ht="11.549999999999999">
      <c r="A198" s="994"/>
      <c r="B198" s="1643"/>
      <c r="C198" s="1643"/>
      <c r="D198" s="358"/>
      <c r="K198" s="1167"/>
      <c r="L198" s="1643"/>
      <c r="M198" s="1643"/>
      <c r="N198" s="1167"/>
      <c r="O198" s="1167"/>
      <c r="P198" s="1167"/>
      <c r="Q198" s="1167"/>
      <c r="R198" s="1643"/>
      <c r="S198" s="1167"/>
      <c r="T198" s="1167"/>
      <c r="U198" s="551"/>
      <c r="V198" s="1167"/>
      <c r="W198" s="1167"/>
      <c r="X198" s="1167"/>
      <c r="Y198" s="1167"/>
      <c r="Z198" s="1167"/>
      <c r="AA198" s="1639"/>
      <c r="AB198" s="573"/>
      <c r="AC198" s="573"/>
      <c r="AD198" s="573"/>
      <c r="AE198" s="573"/>
      <c r="AF198" s="1648">
        <v>11</v>
      </c>
    </row>
    <row s="1648" customFormat="1" customHeight="1" ht="11.549999999999999">
      <c r="A199" s="994"/>
      <c r="B199" s="1643"/>
      <c r="C199" s="1643"/>
      <c r="D199" s="358"/>
      <c r="K199" s="1167"/>
      <c r="L199" s="1643"/>
      <c r="M199" s="1643"/>
      <c r="N199" s="1167"/>
      <c r="O199" s="1167"/>
      <c r="P199" s="1167"/>
      <c r="Q199" s="1167"/>
      <c r="R199" s="1643"/>
      <c r="S199" s="1167"/>
      <c r="T199" s="1167"/>
      <c r="U199" s="551"/>
      <c r="V199" s="1167"/>
      <c r="W199" s="1167"/>
      <c r="X199" s="1167"/>
      <c r="Y199" s="1167"/>
      <c r="Z199" s="1167"/>
      <c r="AA199" s="1639"/>
      <c r="AB199" s="573"/>
      <c r="AC199" s="573"/>
      <c r="AD199" s="573"/>
      <c r="AE199" s="573"/>
      <c r="AF199" s="1648">
        <v>11</v>
      </c>
    </row>
    <row s="1648" customFormat="1" customHeight="1" ht="11.549999999999999">
      <c r="A200" s="994"/>
      <c r="B200" s="1643"/>
      <c r="C200" s="1643"/>
      <c r="D200" s="358"/>
      <c r="K200" s="1167"/>
      <c r="L200" s="1643"/>
      <c r="M200" s="1643"/>
      <c r="N200" s="1167"/>
      <c r="O200" s="1167"/>
      <c r="P200" s="1167"/>
      <c r="Q200" s="1167"/>
      <c r="R200" s="1643"/>
      <c r="S200" s="1167"/>
      <c r="T200" s="1167"/>
      <c r="U200" s="551"/>
      <c r="V200" s="1167"/>
      <c r="W200" s="1167"/>
      <c r="X200" s="1167"/>
      <c r="Y200" s="1167"/>
      <c r="Z200" s="1167"/>
      <c r="AA200" s="1639"/>
      <c r="AB200" s="573"/>
      <c r="AC200" s="573"/>
      <c r="AD200" s="573"/>
      <c r="AE200" s="573"/>
      <c r="AF200" s="1648">
        <v>11</v>
      </c>
    </row>
    <row s="1648" customFormat="1" customHeight="1" ht="11.549999999999999">
      <c r="A201" s="994"/>
      <c r="B201" s="1643"/>
      <c r="C201" s="1643"/>
      <c r="D201" s="358"/>
      <c r="K201" s="1167"/>
      <c r="L201" s="1643"/>
      <c r="M201" s="1643"/>
      <c r="N201" s="1167"/>
      <c r="O201" s="1167"/>
      <c r="P201" s="1167"/>
      <c r="Q201" s="1167"/>
      <c r="R201" s="1643"/>
      <c r="S201" s="1167"/>
      <c r="T201" s="1167"/>
      <c r="U201" s="551"/>
      <c r="V201" s="1167"/>
      <c r="W201" s="1167"/>
      <c r="X201" s="1167"/>
      <c r="Y201" s="1167"/>
      <c r="Z201" s="1167"/>
      <c r="AA201" s="1639"/>
      <c r="AB201" s="573"/>
      <c r="AC201" s="573"/>
      <c r="AD201" s="573"/>
      <c r="AE201" s="573"/>
      <c r="AF201" s="1648">
        <v>11</v>
      </c>
    </row>
    <row s="1648" customFormat="1" customHeight="1" ht="11.549999999999999">
      <c r="A202" s="994"/>
      <c r="B202" s="1643"/>
      <c r="C202" s="1643"/>
      <c r="D202" s="358"/>
      <c r="K202" s="1167"/>
      <c r="L202" s="1643"/>
      <c r="M202" s="1643"/>
      <c r="N202" s="1167"/>
      <c r="O202" s="1167"/>
      <c r="P202" s="1167"/>
      <c r="Q202" s="1167"/>
      <c r="R202" s="1643"/>
      <c r="S202" s="1167"/>
      <c r="T202" s="1167"/>
      <c r="U202" s="551"/>
      <c r="V202" s="1167"/>
      <c r="W202" s="1167"/>
      <c r="X202" s="1167"/>
      <c r="Y202" s="1167"/>
      <c r="Z202" s="1167"/>
      <c r="AA202" s="1639"/>
      <c r="AB202" s="573"/>
      <c r="AC202" s="573"/>
      <c r="AD202" s="573"/>
      <c r="AE202" s="573"/>
      <c r="AF202" s="1648">
        <v>11</v>
      </c>
    </row>
    <row s="1648" customFormat="1" customHeight="1" ht="11.549999999999999">
      <c r="A203" s="994"/>
      <c r="B203" s="1643"/>
      <c r="C203" s="1643"/>
      <c r="D203" s="358"/>
      <c r="K203" s="1167"/>
      <c r="L203" s="1643"/>
      <c r="M203" s="1643"/>
      <c r="N203" s="1167"/>
      <c r="O203" s="1167"/>
      <c r="P203" s="1167"/>
      <c r="Q203" s="1167"/>
      <c r="R203" s="1643"/>
      <c r="S203" s="1167"/>
      <c r="T203" s="1167"/>
      <c r="U203" s="551"/>
      <c r="V203" s="1167"/>
      <c r="W203" s="1167"/>
      <c r="X203" s="1167"/>
      <c r="Y203" s="1167"/>
      <c r="Z203" s="1167"/>
      <c r="AA203" s="1639"/>
      <c r="AB203" s="573"/>
      <c r="AC203" s="573"/>
      <c r="AD203" s="573"/>
      <c r="AE203" s="573"/>
      <c r="AF203" s="1648">
        <v>11</v>
      </c>
    </row>
    <row s="1648" customFormat="1" customHeight="1" ht="11.549999999999999">
      <c r="A204" s="994"/>
      <c r="B204" s="1643"/>
      <c r="C204" s="1643"/>
      <c r="D204" s="358"/>
      <c r="K204" s="1167"/>
      <c r="L204" s="1643"/>
      <c r="M204" s="1643"/>
      <c r="N204" s="1167"/>
      <c r="O204" s="1167"/>
      <c r="P204" s="1167"/>
      <c r="Q204" s="1167"/>
      <c r="R204" s="1643"/>
      <c r="S204" s="1167"/>
      <c r="T204" s="1167"/>
      <c r="U204" s="551"/>
      <c r="V204" s="1167"/>
      <c r="W204" s="1167"/>
      <c r="X204" s="1167"/>
      <c r="Y204" s="1167"/>
      <c r="Z204" s="1167"/>
      <c r="AA204" s="1639"/>
      <c r="AB204" s="573"/>
      <c r="AC204" s="573"/>
      <c r="AD204" s="573"/>
      <c r="AE204" s="573"/>
      <c r="AF204" s="1648">
        <v>11</v>
      </c>
    </row>
    <row s="1648" customFormat="1" customHeight="1" ht="11.549999999999999">
      <c r="A205" s="994"/>
      <c r="B205" s="1643"/>
      <c r="C205" s="1643"/>
      <c r="D205" s="358"/>
      <c r="K205" s="1167"/>
      <c r="L205" s="1643"/>
      <c r="M205" s="1643"/>
      <c r="N205" s="1167"/>
      <c r="O205" s="1167"/>
      <c r="P205" s="1167"/>
      <c r="Q205" s="1167"/>
      <c r="R205" s="1643"/>
      <c r="S205" s="1167"/>
      <c r="T205" s="1167"/>
      <c r="U205" s="551"/>
      <c r="V205" s="1167"/>
      <c r="W205" s="1167"/>
      <c r="X205" s="1167"/>
      <c r="Y205" s="1167"/>
      <c r="Z205" s="1167"/>
      <c r="AA205" s="1639"/>
      <c r="AB205" s="573"/>
      <c r="AC205" s="573"/>
      <c r="AD205" s="573"/>
      <c r="AE205" s="573"/>
      <c r="AF205" s="1648">
        <v>11</v>
      </c>
    </row>
    <row s="1648" customFormat="1" customHeight="1" ht="11.549999999999999">
      <c r="A206" s="994"/>
      <c r="B206" s="1643"/>
      <c r="C206" s="1643"/>
      <c r="D206" s="358"/>
      <c r="K206" s="1167"/>
      <c r="L206" s="1643"/>
      <c r="M206" s="1643"/>
      <c r="N206" s="1167"/>
      <c r="O206" s="1167"/>
      <c r="P206" s="1167"/>
      <c r="Q206" s="1167"/>
      <c r="R206" s="1643"/>
      <c r="S206" s="1167"/>
      <c r="T206" s="1167"/>
      <c r="U206" s="551"/>
      <c r="V206" s="1167"/>
      <c r="W206" s="1167"/>
      <c r="X206" s="1167"/>
      <c r="Y206" s="1167"/>
      <c r="Z206" s="1167"/>
      <c r="AA206" s="1639"/>
      <c r="AB206" s="573"/>
      <c r="AC206" s="573"/>
      <c r="AD206" s="573"/>
      <c r="AE206" s="573"/>
      <c r="AF206" s="1648">
        <v>11</v>
      </c>
    </row>
    <row s="1648" customFormat="1" customHeight="1" ht="11.549999999999999">
      <c r="A207" s="994"/>
      <c r="B207" s="1643"/>
      <c r="C207" s="1643"/>
      <c r="D207" s="358"/>
      <c r="K207" s="1167"/>
      <c r="L207" s="1643"/>
      <c r="M207" s="1643"/>
      <c r="N207" s="1167"/>
      <c r="O207" s="1167"/>
      <c r="P207" s="1167"/>
      <c r="Q207" s="1167"/>
      <c r="R207" s="1643"/>
      <c r="S207" s="1167"/>
      <c r="T207" s="1167"/>
      <c r="U207" s="551"/>
      <c r="V207" s="1167"/>
      <c r="W207" s="1167"/>
      <c r="X207" s="1167"/>
      <c r="Y207" s="1167"/>
      <c r="Z207" s="1167"/>
      <c r="AA207" s="1639"/>
      <c r="AB207" s="573"/>
      <c r="AC207" s="573"/>
      <c r="AD207" s="573"/>
      <c r="AE207" s="573"/>
      <c r="AF207" s="1648">
        <v>11</v>
      </c>
    </row>
    <row s="1648" customFormat="1" customHeight="1" ht="11.549999999999999">
      <c r="A208" s="994"/>
      <c r="B208" s="1643"/>
      <c r="C208" s="1643"/>
      <c r="D208" s="358"/>
      <c r="K208" s="1167"/>
      <c r="L208" s="1643"/>
      <c r="M208" s="1643"/>
      <c r="N208" s="1167"/>
      <c r="O208" s="1167"/>
      <c r="P208" s="1167"/>
      <c r="Q208" s="1167"/>
      <c r="R208" s="1643"/>
      <c r="S208" s="1167"/>
      <c r="T208" s="1167"/>
      <c r="U208" s="551"/>
      <c r="V208" s="1167"/>
      <c r="W208" s="1167"/>
      <c r="X208" s="1167"/>
      <c r="Y208" s="1167"/>
      <c r="Z208" s="1167"/>
      <c r="AA208" s="1639"/>
      <c r="AB208" s="573"/>
      <c r="AC208" s="573"/>
      <c r="AD208" s="573"/>
      <c r="AE208" s="573"/>
      <c r="AF208" s="1648">
        <v>11</v>
      </c>
    </row>
    <row s="1648" customFormat="1" customHeight="1" ht="11.549999999999999">
      <c r="A209" s="994"/>
      <c r="B209" s="1643"/>
      <c r="C209" s="1643"/>
      <c r="D209" s="358"/>
      <c r="K209" s="1167"/>
      <c r="L209" s="1643"/>
      <c r="M209" s="1643"/>
      <c r="N209" s="1167"/>
      <c r="O209" s="1167"/>
      <c r="P209" s="1167"/>
      <c r="Q209" s="1167"/>
      <c r="R209" s="1643"/>
      <c r="S209" s="1167"/>
      <c r="T209" s="1167"/>
      <c r="U209" s="551"/>
      <c r="V209" s="1167"/>
      <c r="W209" s="1167"/>
      <c r="X209" s="1167"/>
      <c r="Y209" s="1167"/>
      <c r="Z209" s="1167"/>
      <c r="AA209" s="1639"/>
      <c r="AB209" s="573"/>
      <c r="AC209" s="573"/>
      <c r="AD209" s="573"/>
      <c r="AE209" s="573"/>
      <c r="AF209" s="1648">
        <v>11</v>
      </c>
    </row>
    <row s="1648" customFormat="1" customHeight="1" ht="11.549999999999999">
      <c r="A210" s="994"/>
      <c r="B210" s="1643"/>
      <c r="C210" s="1643"/>
      <c r="D210" s="358"/>
      <c r="K210" s="1167"/>
      <c r="L210" s="1643"/>
      <c r="M210" s="1643"/>
      <c r="N210" s="1167"/>
      <c r="O210" s="1167"/>
      <c r="P210" s="1167"/>
      <c r="Q210" s="1167"/>
      <c r="R210" s="1643"/>
      <c r="S210" s="1167"/>
      <c r="T210" s="1167"/>
      <c r="U210" s="551"/>
      <c r="V210" s="1167"/>
      <c r="W210" s="1167"/>
      <c r="X210" s="1167"/>
      <c r="Y210" s="1167"/>
      <c r="Z210" s="1167"/>
      <c r="AA210" s="1639"/>
      <c r="AB210" s="573"/>
      <c r="AC210" s="573"/>
      <c r="AD210" s="573"/>
      <c r="AE210" s="573"/>
      <c r="AF210" s="1648">
        <v>11</v>
      </c>
    </row>
    <row s="1648" customFormat="1" customHeight="1" ht="11.549999999999999">
      <c r="A211" s="994"/>
      <c r="B211" s="1643"/>
      <c r="C211" s="1643"/>
      <c r="D211" s="358"/>
      <c r="K211" s="1167"/>
      <c r="L211" s="1643"/>
      <c r="M211" s="1643"/>
      <c r="N211" s="1167"/>
      <c r="O211" s="1167"/>
      <c r="P211" s="1167"/>
      <c r="Q211" s="1167"/>
      <c r="R211" s="1643"/>
      <c r="S211" s="1167"/>
      <c r="T211" s="1167"/>
      <c r="U211" s="551"/>
      <c r="V211" s="1167"/>
      <c r="W211" s="1167"/>
      <c r="X211" s="1167"/>
      <c r="Y211" s="1167"/>
      <c r="Z211" s="1167"/>
      <c r="AA211" s="1639"/>
      <c r="AB211" s="573"/>
      <c r="AC211" s="573"/>
      <c r="AD211" s="573"/>
      <c r="AE211" s="573"/>
      <c r="AF211" s="1648">
        <v>11</v>
      </c>
    </row>
    <row s="1648" customFormat="1" customHeight="1" ht="11.549999999999999">
      <c r="A212" s="994"/>
      <c r="B212" s="1643"/>
      <c r="C212" s="1643"/>
      <c r="D212" s="358"/>
      <c r="K212" s="1167"/>
      <c r="L212" s="1643"/>
      <c r="M212" s="1643"/>
      <c r="N212" s="1167"/>
      <c r="O212" s="1167"/>
      <c r="P212" s="1167"/>
      <c r="Q212" s="1167"/>
      <c r="R212" s="1643"/>
      <c r="S212" s="1167"/>
      <c r="T212" s="1167"/>
      <c r="U212" s="551"/>
      <c r="V212" s="1167"/>
      <c r="W212" s="1167"/>
      <c r="X212" s="1167"/>
      <c r="Y212" s="1167"/>
      <c r="Z212" s="1167"/>
      <c r="AA212" s="1639"/>
      <c r="AB212" s="573"/>
      <c r="AC212" s="573"/>
      <c r="AD212" s="573"/>
      <c r="AE212" s="573"/>
      <c r="AF212" s="1648">
        <v>11</v>
      </c>
    </row>
    <row s="1648" customFormat="1" customHeight="1" ht="11.549999999999999">
      <c r="A213" s="994"/>
      <c r="B213" s="1643"/>
      <c r="C213" s="1643"/>
      <c r="D213" s="358"/>
      <c r="K213" s="1167"/>
      <c r="L213" s="1643"/>
      <c r="M213" s="1643"/>
      <c r="N213" s="1167"/>
      <c r="O213" s="1167"/>
      <c r="P213" s="1167"/>
      <c r="Q213" s="1167"/>
      <c r="R213" s="1643"/>
      <c r="S213" s="1167"/>
      <c r="T213" s="1167"/>
      <c r="U213" s="551"/>
      <c r="V213" s="1167"/>
      <c r="W213" s="1167"/>
      <c r="X213" s="1167"/>
      <c r="Y213" s="1167"/>
      <c r="Z213" s="1167"/>
      <c r="AA213" s="1639"/>
      <c r="AB213" s="573"/>
      <c r="AC213" s="573"/>
      <c r="AD213" s="573"/>
      <c r="AE213" s="573"/>
      <c r="AF213" s="1648">
        <v>11</v>
      </c>
    </row>
    <row s="1648" customFormat="1" customHeight="1" ht="11.549999999999999">
      <c r="A214" s="994"/>
      <c r="B214" s="1643"/>
      <c r="C214" s="1643"/>
      <c r="D214" s="358"/>
      <c r="K214" s="1167"/>
      <c r="L214" s="1643"/>
      <c r="M214" s="1643"/>
      <c r="N214" s="1167"/>
      <c r="O214" s="1167"/>
      <c r="P214" s="1167"/>
      <c r="Q214" s="1167"/>
      <c r="R214" s="1643"/>
      <c r="S214" s="1167"/>
      <c r="T214" s="1167"/>
      <c r="U214" s="551"/>
      <c r="V214" s="1167"/>
      <c r="W214" s="1167"/>
      <c r="X214" s="1167"/>
      <c r="Y214" s="1167"/>
      <c r="Z214" s="1167"/>
      <c r="AA214" s="1639"/>
      <c r="AB214" s="573"/>
      <c r="AC214" s="573"/>
      <c r="AD214" s="573"/>
      <c r="AE214" s="573"/>
      <c r="AF214" s="1648">
        <v>11</v>
      </c>
    </row>
    <row s="1648" customFormat="1" customHeight="1" ht="11.549999999999999">
      <c r="A215" s="994"/>
      <c r="B215" s="1643"/>
      <c r="C215" s="1643"/>
      <c r="D215" s="358"/>
      <c r="K215" s="1167"/>
      <c r="L215" s="1643"/>
      <c r="M215" s="1643"/>
      <c r="N215" s="1167"/>
      <c r="O215" s="1167"/>
      <c r="P215" s="1167"/>
      <c r="Q215" s="1167"/>
      <c r="R215" s="1643"/>
      <c r="S215" s="1167"/>
      <c r="T215" s="1167"/>
      <c r="U215" s="551"/>
      <c r="V215" s="1167"/>
      <c r="W215" s="1167"/>
      <c r="X215" s="1167"/>
      <c r="Y215" s="1167"/>
      <c r="Z215" s="1167"/>
      <c r="AA215" s="1639"/>
      <c r="AB215" s="573"/>
      <c r="AC215" s="573"/>
      <c r="AD215" s="573"/>
      <c r="AE215" s="573"/>
      <c r="AF215" s="1648">
        <v>11</v>
      </c>
    </row>
    <row s="1648" customFormat="1" customHeight="1" ht="11.549999999999999">
      <c r="A216" s="994"/>
      <c r="B216" s="1643"/>
      <c r="C216" s="1643"/>
      <c r="D216" s="358"/>
      <c r="K216" s="1167"/>
      <c r="L216" s="1643"/>
      <c r="M216" s="1643"/>
      <c r="N216" s="1167"/>
      <c r="O216" s="1167"/>
      <c r="P216" s="1167"/>
      <c r="Q216" s="1167"/>
      <c r="R216" s="1643"/>
      <c r="S216" s="1167"/>
      <c r="T216" s="1167"/>
      <c r="U216" s="551"/>
      <c r="V216" s="1167"/>
      <c r="W216" s="1167"/>
      <c r="X216" s="1167"/>
      <c r="Y216" s="1167"/>
      <c r="Z216" s="1167"/>
      <c r="AA216" s="1639"/>
      <c r="AB216" s="573"/>
      <c r="AC216" s="573"/>
      <c r="AD216" s="573"/>
      <c r="AE216" s="573"/>
      <c r="AF216" s="1648">
        <v>11</v>
      </c>
    </row>
    <row s="1648" customFormat="1" customHeight="1" ht="11.549999999999999">
      <c r="A217" s="994"/>
      <c r="B217" s="1643"/>
      <c r="C217" s="1643"/>
      <c r="D217" s="358"/>
      <c r="K217" s="1167"/>
      <c r="L217" s="1643"/>
      <c r="M217" s="1643"/>
      <c r="N217" s="1167"/>
      <c r="O217" s="1167"/>
      <c r="P217" s="1167"/>
      <c r="Q217" s="1167"/>
      <c r="R217" s="1643"/>
      <c r="S217" s="1167"/>
      <c r="T217" s="1167"/>
      <c r="U217" s="551"/>
      <c r="V217" s="1167"/>
      <c r="W217" s="1167"/>
      <c r="X217" s="1167"/>
      <c r="Y217" s="1167"/>
      <c r="Z217" s="1167"/>
      <c r="AA217" s="1639"/>
      <c r="AB217" s="573"/>
      <c r="AC217" s="573"/>
      <c r="AD217" s="573"/>
      <c r="AE217" s="573"/>
      <c r="AF217" s="1648">
        <v>11</v>
      </c>
    </row>
    <row s="1648" customFormat="1" customHeight="1" ht="11.549999999999999">
      <c r="A218" s="994"/>
      <c r="B218" s="1643"/>
      <c r="C218" s="1643"/>
      <c r="D218" s="358"/>
      <c r="K218" s="1167"/>
      <c r="L218" s="1643"/>
      <c r="M218" s="1643"/>
      <c r="N218" s="1167"/>
      <c r="O218" s="1167"/>
      <c r="P218" s="1167"/>
      <c r="Q218" s="1167"/>
      <c r="R218" s="1643"/>
      <c r="S218" s="1167"/>
      <c r="T218" s="1167"/>
      <c r="U218" s="551"/>
      <c r="V218" s="1167"/>
      <c r="W218" s="1167"/>
      <c r="X218" s="1167"/>
      <c r="Y218" s="1167"/>
      <c r="Z218" s="1167"/>
      <c r="AA218" s="1639"/>
      <c r="AB218" s="573"/>
      <c r="AC218" s="573"/>
      <c r="AD218" s="573"/>
      <c r="AE218" s="573"/>
      <c r="AF218" s="1648">
        <v>11</v>
      </c>
    </row>
    <row s="1648" customFormat="1" customHeight="1" ht="11.549999999999999">
      <c r="A219" s="994"/>
      <c r="B219" s="1643"/>
      <c r="C219" s="1643"/>
      <c r="D219" s="358"/>
      <c r="K219" s="1167"/>
      <c r="L219" s="1643"/>
      <c r="M219" s="1643"/>
      <c r="N219" s="1167"/>
      <c r="O219" s="1167"/>
      <c r="P219" s="1167"/>
      <c r="Q219" s="1167"/>
      <c r="R219" s="1643"/>
      <c r="S219" s="1167"/>
      <c r="T219" s="1167"/>
      <c r="U219" s="551"/>
      <c r="V219" s="1167"/>
      <c r="W219" s="1167"/>
      <c r="X219" s="1167"/>
      <c r="Y219" s="1167"/>
      <c r="Z219" s="1167"/>
      <c r="AA219" s="1639"/>
      <c r="AB219" s="573"/>
      <c r="AC219" s="573"/>
      <c r="AD219" s="573"/>
      <c r="AE219" s="573"/>
      <c r="AF219" s="1648">
        <v>11</v>
      </c>
    </row>
    <row s="1648" customFormat="1" customHeight="1" ht="11.549999999999999">
      <c r="A220" s="994"/>
      <c r="B220" s="1643"/>
      <c r="C220" s="1643"/>
      <c r="D220" s="358"/>
      <c r="K220" s="1167"/>
      <c r="L220" s="1643"/>
      <c r="M220" s="1643"/>
      <c r="N220" s="1167"/>
      <c r="O220" s="1167"/>
      <c r="P220" s="1167"/>
      <c r="Q220" s="1167"/>
      <c r="R220" s="1643"/>
      <c r="S220" s="1167"/>
      <c r="T220" s="1167"/>
      <c r="U220" s="551"/>
      <c r="V220" s="1167"/>
      <c r="W220" s="1167"/>
      <c r="X220" s="1167"/>
      <c r="Y220" s="1167"/>
      <c r="Z220" s="1167"/>
      <c r="AA220" s="1639"/>
      <c r="AB220" s="573"/>
      <c r="AC220" s="573"/>
      <c r="AD220" s="573"/>
      <c r="AE220" s="573"/>
      <c r="AF220" s="1648">
        <v>11</v>
      </c>
    </row>
    <row s="1648" customFormat="1" customHeight="1" ht="11.549999999999999">
      <c r="A221" s="994"/>
      <c r="B221" s="1643"/>
      <c r="C221" s="1643"/>
      <c r="D221" s="358"/>
      <c r="K221" s="1167"/>
      <c r="L221" s="1643"/>
      <c r="M221" s="1643"/>
      <c r="N221" s="1167"/>
      <c r="O221" s="1167"/>
      <c r="P221" s="1167"/>
      <c r="Q221" s="1167"/>
      <c r="R221" s="1643"/>
      <c r="S221" s="1167"/>
      <c r="T221" s="1167"/>
      <c r="U221" s="551"/>
      <c r="V221" s="1167"/>
      <c r="W221" s="1167"/>
      <c r="X221" s="1167"/>
      <c r="Y221" s="1167"/>
      <c r="Z221" s="1167"/>
      <c r="AA221" s="1639"/>
      <c r="AB221" s="573"/>
      <c r="AC221" s="573"/>
      <c r="AD221" s="573"/>
      <c r="AE221" s="573"/>
      <c r="AF221" s="1648">
        <v>11</v>
      </c>
    </row>
    <row s="1648" customFormat="1" customHeight="1" ht="11.549999999999999">
      <c r="A222" s="994"/>
      <c r="B222" s="1643"/>
      <c r="C222" s="1643"/>
      <c r="D222" s="358"/>
      <c r="K222" s="1167"/>
      <c r="L222" s="1643"/>
      <c r="M222" s="1643"/>
      <c r="N222" s="1167"/>
      <c r="O222" s="1167"/>
      <c r="P222" s="1167"/>
      <c r="Q222" s="1167"/>
      <c r="R222" s="1643"/>
      <c r="S222" s="1167"/>
      <c r="T222" s="1167"/>
      <c r="U222" s="551"/>
      <c r="V222" s="1167"/>
      <c r="W222" s="1167"/>
      <c r="X222" s="1167"/>
      <c r="Y222" s="1167"/>
      <c r="Z222" s="1167"/>
      <c r="AA222" s="1639"/>
      <c r="AB222" s="573"/>
      <c r="AC222" s="573"/>
      <c r="AD222" s="573"/>
      <c r="AE222" s="573"/>
      <c r="AF222" s="1648">
        <v>11</v>
      </c>
    </row>
    <row s="1648" customFormat="1" customHeight="1" ht="11.549999999999999">
      <c r="A223" s="994"/>
      <c r="B223" s="1643"/>
      <c r="C223" s="1643"/>
      <c r="D223" s="358"/>
      <c r="K223" s="1167"/>
      <c r="L223" s="1643"/>
      <c r="M223" s="1643"/>
      <c r="N223" s="1167"/>
      <c r="O223" s="1167"/>
      <c r="P223" s="1167"/>
      <c r="Q223" s="1167"/>
      <c r="R223" s="1643"/>
      <c r="S223" s="1167"/>
      <c r="T223" s="1167"/>
      <c r="U223" s="551"/>
      <c r="V223" s="1167"/>
      <c r="W223" s="1167"/>
      <c r="X223" s="1167"/>
      <c r="Y223" s="1167"/>
      <c r="Z223" s="1167"/>
      <c r="AA223" s="1639"/>
      <c r="AB223" s="573"/>
      <c r="AC223" s="573"/>
      <c r="AD223" s="573"/>
      <c r="AE223" s="573"/>
      <c r="AF223" s="1648">
        <v>11</v>
      </c>
    </row>
    <row s="1648" customFormat="1" customHeight="1" ht="11.549999999999999">
      <c r="A224" s="994"/>
      <c r="B224" s="1643"/>
      <c r="C224" s="1643"/>
      <c r="D224" s="358"/>
      <c r="K224" s="1167"/>
      <c r="L224" s="1643"/>
      <c r="M224" s="1643"/>
      <c r="N224" s="1167"/>
      <c r="O224" s="1167"/>
      <c r="P224" s="1167"/>
      <c r="Q224" s="1167"/>
      <c r="R224" s="1643"/>
      <c r="S224" s="1167"/>
      <c r="T224" s="1167"/>
      <c r="U224" s="551"/>
      <c r="V224" s="1167"/>
      <c r="W224" s="1167"/>
      <c r="X224" s="1167"/>
      <c r="Y224" s="1167"/>
      <c r="Z224" s="1167"/>
      <c r="AA224" s="1639"/>
      <c r="AB224" s="573"/>
      <c r="AC224" s="573"/>
      <c r="AD224" s="573"/>
      <c r="AE224" s="573"/>
      <c r="AF224" s="1648">
        <v>11</v>
      </c>
    </row>
    <row s="1648" customFormat="1" customHeight="1" ht="11.549999999999999">
      <c r="A225" s="994"/>
      <c r="B225" s="1643"/>
      <c r="C225" s="1643"/>
      <c r="D225" s="358"/>
      <c r="K225" s="1167"/>
      <c r="L225" s="1643"/>
      <c r="M225" s="1643"/>
      <c r="N225" s="1167"/>
      <c r="O225" s="1167"/>
      <c r="P225" s="1167"/>
      <c r="Q225" s="1167"/>
      <c r="R225" s="1643"/>
      <c r="S225" s="1167"/>
      <c r="T225" s="1167"/>
      <c r="U225" s="551"/>
      <c r="V225" s="1167"/>
      <c r="W225" s="1167"/>
      <c r="X225" s="1167"/>
      <c r="Y225" s="1167"/>
      <c r="Z225" s="1167"/>
      <c r="AA225" s="1639"/>
      <c r="AB225" s="573"/>
      <c r="AC225" s="573"/>
      <c r="AD225" s="573"/>
      <c r="AE225" s="573"/>
      <c r="AF225" s="1648">
        <v>11</v>
      </c>
    </row>
    <row s="1648" customFormat="1" customHeight="1" ht="11.549999999999999">
      <c r="A226" s="994"/>
      <c r="B226" s="1643"/>
      <c r="C226" s="1643"/>
      <c r="D226" s="358"/>
      <c r="K226" s="1167"/>
      <c r="L226" s="1643"/>
      <c r="M226" s="1643"/>
      <c r="N226" s="1167"/>
      <c r="O226" s="1167"/>
      <c r="P226" s="1167"/>
      <c r="Q226" s="1167"/>
      <c r="R226" s="1643"/>
      <c r="S226" s="1167"/>
      <c r="T226" s="1167"/>
      <c r="U226" s="551"/>
      <c r="V226" s="1167"/>
      <c r="W226" s="1167"/>
      <c r="X226" s="1167"/>
      <c r="Y226" s="1167"/>
      <c r="Z226" s="1167"/>
      <c r="AA226" s="1639"/>
      <c r="AB226" s="573"/>
      <c r="AC226" s="573"/>
      <c r="AD226" s="573"/>
      <c r="AE226" s="573"/>
      <c r="AF226" s="1648">
        <v>11</v>
      </c>
    </row>
    <row s="1648" customFormat="1" customHeight="1" ht="11.549999999999999">
      <c r="A227" s="994"/>
      <c r="B227" s="1643"/>
      <c r="C227" s="1643"/>
      <c r="D227" s="358"/>
      <c r="K227" s="1167"/>
      <c r="L227" s="1643"/>
      <c r="M227" s="1643"/>
      <c r="N227" s="1167"/>
      <c r="O227" s="1167"/>
      <c r="P227" s="1167"/>
      <c r="Q227" s="1167"/>
      <c r="R227" s="1643"/>
      <c r="S227" s="1167"/>
      <c r="T227" s="1167"/>
      <c r="U227" s="551"/>
      <c r="V227" s="1167"/>
      <c r="W227" s="1167"/>
      <c r="X227" s="1167"/>
      <c r="Y227" s="1167"/>
      <c r="Z227" s="1167"/>
      <c r="AA227" s="1639"/>
      <c r="AB227" s="573"/>
      <c r="AC227" s="573"/>
      <c r="AD227" s="573"/>
      <c r="AE227" s="573"/>
      <c r="AF227" s="1648">
        <v>11</v>
      </c>
    </row>
    <row s="1648" customFormat="1" customHeight="1" ht="11.549999999999999">
      <c r="A228" s="994"/>
      <c r="B228" s="1643"/>
      <c r="C228" s="1643"/>
      <c r="D228" s="358"/>
      <c r="K228" s="1167"/>
      <c r="L228" s="1643"/>
      <c r="M228" s="1643"/>
      <c r="N228" s="1167"/>
      <c r="O228" s="1167"/>
      <c r="P228" s="1167"/>
      <c r="Q228" s="1167"/>
      <c r="R228" s="1643"/>
      <c r="S228" s="1167"/>
      <c r="T228" s="1167"/>
      <c r="U228" s="551"/>
      <c r="V228" s="1167"/>
      <c r="W228" s="1167"/>
      <c r="X228" s="1167"/>
      <c r="Y228" s="1167"/>
      <c r="Z228" s="1167"/>
      <c r="AA228" s="1639"/>
      <c r="AB228" s="573"/>
      <c r="AC228" s="573"/>
      <c r="AD228" s="573"/>
      <c r="AE228" s="573"/>
      <c r="AF228" s="1648">
        <v>11</v>
      </c>
    </row>
    <row s="1648" customFormat="1" customHeight="1" ht="11.549999999999999">
      <c r="A229" s="994"/>
      <c r="B229" s="1643"/>
      <c r="C229" s="1643"/>
      <c r="D229" s="358"/>
      <c r="K229" s="1167"/>
      <c r="L229" s="1643"/>
      <c r="M229" s="1643"/>
      <c r="N229" s="1167"/>
      <c r="O229" s="1167"/>
      <c r="P229" s="1167"/>
      <c r="Q229" s="1167"/>
      <c r="R229" s="1643"/>
      <c r="S229" s="1167"/>
      <c r="T229" s="1167"/>
      <c r="U229" s="551"/>
      <c r="V229" s="1167"/>
      <c r="W229" s="1167"/>
      <c r="X229" s="1167"/>
      <c r="Y229" s="1167"/>
      <c r="Z229" s="1167"/>
      <c r="AA229" s="1639"/>
      <c r="AB229" s="573"/>
      <c r="AC229" s="573"/>
      <c r="AD229" s="573"/>
      <c r="AE229" s="573"/>
      <c r="AF229" s="1648">
        <v>11</v>
      </c>
    </row>
    <row s="1648" customFormat="1" customHeight="1" ht="11.549999999999999">
      <c r="A230" s="994"/>
      <c r="B230" s="1643"/>
      <c r="C230" s="1643"/>
      <c r="D230" s="358"/>
      <c r="K230" s="1167"/>
      <c r="L230" s="1643"/>
      <c r="M230" s="1643"/>
      <c r="N230" s="1167"/>
      <c r="O230" s="1167"/>
      <c r="P230" s="1167"/>
      <c r="Q230" s="1167"/>
      <c r="R230" s="1643"/>
      <c r="S230" s="1167"/>
      <c r="T230" s="1167"/>
      <c r="U230" s="551"/>
      <c r="V230" s="1167"/>
      <c r="W230" s="1167"/>
      <c r="X230" s="1167"/>
      <c r="Y230" s="1167"/>
      <c r="Z230" s="1167"/>
      <c r="AA230" s="1639"/>
      <c r="AB230" s="573"/>
      <c r="AC230" s="573"/>
      <c r="AD230" s="573"/>
      <c r="AE230" s="573"/>
      <c r="AF230" s="1648">
        <v>11</v>
      </c>
    </row>
    <row s="1648" customFormat="1" customHeight="1" ht="11.549999999999999">
      <c r="A231" s="994"/>
      <c r="B231" s="1643"/>
      <c r="C231" s="1643"/>
      <c r="D231" s="358"/>
      <c r="K231" s="1167"/>
      <c r="L231" s="1643"/>
      <c r="M231" s="1643"/>
      <c r="N231" s="1167"/>
      <c r="O231" s="1167"/>
      <c r="P231" s="1167"/>
      <c r="Q231" s="1167"/>
      <c r="R231" s="1643"/>
      <c r="S231" s="1167"/>
      <c r="T231" s="1167"/>
      <c r="U231" s="551"/>
      <c r="V231" s="1167"/>
      <c r="W231" s="1167"/>
      <c r="X231" s="1167"/>
      <c r="Y231" s="1167"/>
      <c r="Z231" s="1167"/>
      <c r="AA231" s="1639"/>
      <c r="AB231" s="573"/>
      <c r="AC231" s="573"/>
      <c r="AD231" s="573"/>
      <c r="AE231" s="573"/>
      <c r="AF231" s="1648">
        <v>11</v>
      </c>
    </row>
    <row s="1648" customFormat="1" customHeight="1" ht="11.549999999999999">
      <c r="A232" s="994"/>
      <c r="B232" s="1643"/>
      <c r="C232" s="1643"/>
      <c r="D232" s="358"/>
      <c r="K232" s="1167"/>
      <c r="L232" s="1643"/>
      <c r="M232" s="1643"/>
      <c r="N232" s="1167"/>
      <c r="O232" s="1167"/>
      <c r="P232" s="1167"/>
      <c r="Q232" s="1167"/>
      <c r="R232" s="1643"/>
      <c r="S232" s="1167"/>
      <c r="T232" s="1167"/>
      <c r="U232" s="551"/>
      <c r="V232" s="1167"/>
      <c r="W232" s="1167"/>
      <c r="X232" s="1167"/>
      <c r="Y232" s="1167"/>
      <c r="Z232" s="1167"/>
      <c r="AA232" s="1639"/>
      <c r="AB232" s="573"/>
      <c r="AC232" s="573"/>
      <c r="AD232" s="573"/>
      <c r="AE232" s="573"/>
      <c r="AF232" s="1648">
        <v>11</v>
      </c>
    </row>
    <row s="1648" customFormat="1" customHeight="1" ht="11.549999999999999">
      <c r="A233" s="994"/>
      <c r="B233" s="1643"/>
      <c r="C233" s="1643"/>
      <c r="D233" s="358"/>
      <c r="K233" s="1167"/>
      <c r="L233" s="1643"/>
      <c r="M233" s="1643"/>
      <c r="N233" s="1167"/>
      <c r="O233" s="1167"/>
      <c r="P233" s="1167"/>
      <c r="Q233" s="1167"/>
      <c r="R233" s="1643"/>
      <c r="S233" s="1167"/>
      <c r="T233" s="1167"/>
      <c r="U233" s="551"/>
      <c r="V233" s="1167"/>
      <c r="W233" s="1167"/>
      <c r="X233" s="1167"/>
      <c r="Y233" s="1167"/>
      <c r="Z233" s="1167"/>
      <c r="AA233" s="1639"/>
      <c r="AB233" s="573"/>
      <c r="AC233" s="573"/>
      <c r="AD233" s="573"/>
      <c r="AE233" s="573"/>
      <c r="AF233" s="1648">
        <v>11</v>
      </c>
    </row>
    <row s="1648" customFormat="1" customHeight="1" ht="11.549999999999999">
      <c r="A234" s="994"/>
      <c r="B234" s="1643"/>
      <c r="C234" s="1643"/>
      <c r="D234" s="358"/>
      <c r="K234" s="1167"/>
      <c r="L234" s="1643"/>
      <c r="M234" s="1643"/>
      <c r="N234" s="1167"/>
      <c r="O234" s="1167"/>
      <c r="P234" s="1167"/>
      <c r="Q234" s="1167"/>
      <c r="R234" s="1643"/>
      <c r="S234" s="1167"/>
      <c r="T234" s="1167"/>
      <c r="U234" s="551"/>
      <c r="V234" s="1167"/>
      <c r="W234" s="1167"/>
      <c r="X234" s="1167"/>
      <c r="Y234" s="1167"/>
      <c r="Z234" s="1167"/>
      <c r="AA234" s="1639"/>
      <c r="AB234" s="573"/>
      <c r="AC234" s="573"/>
      <c r="AD234" s="573"/>
      <c r="AE234" s="573"/>
      <c r="AF234" s="1648">
        <v>11</v>
      </c>
    </row>
    <row s="1648" customFormat="1" customHeight="1" ht="11.549999999999999">
      <c r="A235" s="994"/>
      <c r="B235" s="1643"/>
      <c r="C235" s="1643"/>
      <c r="D235" s="358"/>
      <c r="K235" s="1167"/>
      <c r="L235" s="1643"/>
      <c r="M235" s="1643"/>
      <c r="N235" s="1167"/>
      <c r="O235" s="1167"/>
      <c r="P235" s="1167"/>
      <c r="Q235" s="1167"/>
      <c r="R235" s="1643"/>
      <c r="S235" s="1167"/>
      <c r="T235" s="1167"/>
      <c r="U235" s="551"/>
      <c r="V235" s="1167"/>
      <c r="W235" s="1167"/>
      <c r="X235" s="1167"/>
      <c r="Y235" s="1167"/>
      <c r="Z235" s="1167"/>
      <c r="AA235" s="1639"/>
      <c r="AB235" s="573"/>
      <c r="AC235" s="573"/>
      <c r="AD235" s="573"/>
      <c r="AE235" s="573"/>
      <c r="AF235" s="1648">
        <v>11</v>
      </c>
    </row>
    <row s="1648" customFormat="1" customHeight="1" ht="11.549999999999999">
      <c r="A236" s="994"/>
      <c r="B236" s="1643"/>
      <c r="C236" s="1643"/>
      <c r="D236" s="358"/>
      <c r="K236" s="1167"/>
      <c r="L236" s="1643"/>
      <c r="M236" s="1643"/>
      <c r="N236" s="1167"/>
      <c r="O236" s="1167"/>
      <c r="P236" s="1167"/>
      <c r="Q236" s="1167"/>
      <c r="R236" s="1643"/>
      <c r="S236" s="1167"/>
      <c r="T236" s="1167"/>
      <c r="U236" s="551"/>
      <c r="V236" s="1167"/>
      <c r="W236" s="1167"/>
      <c r="X236" s="1167"/>
      <c r="Y236" s="1167"/>
      <c r="Z236" s="1167"/>
      <c r="AA236" s="1639"/>
      <c r="AB236" s="573"/>
      <c r="AC236" s="573"/>
      <c r="AD236" s="573"/>
      <c r="AE236" s="573"/>
      <c r="AF236" s="1648">
        <v>11</v>
      </c>
    </row>
    <row s="1648" customFormat="1" customHeight="1" ht="11.549999999999999">
      <c r="A237" s="994"/>
      <c r="B237" s="1643"/>
      <c r="C237" s="1643"/>
      <c r="D237" s="358"/>
      <c r="K237" s="1167"/>
      <c r="L237" s="1643"/>
      <c r="M237" s="1643"/>
      <c r="N237" s="1167"/>
      <c r="O237" s="1167"/>
      <c r="P237" s="1167"/>
      <c r="Q237" s="1167"/>
      <c r="R237" s="1643"/>
      <c r="S237" s="1167"/>
      <c r="T237" s="1167"/>
      <c r="U237" s="551"/>
      <c r="V237" s="1167"/>
      <c r="W237" s="1167"/>
      <c r="X237" s="1167"/>
      <c r="Y237" s="1167"/>
      <c r="Z237" s="1167"/>
      <c r="AA237" s="1639"/>
      <c r="AB237" s="573"/>
      <c r="AC237" s="573"/>
      <c r="AD237" s="573"/>
      <c r="AE237" s="573"/>
      <c r="AF237" s="1648">
        <v>11</v>
      </c>
    </row>
    <row s="1648" customFormat="1" customHeight="1" ht="11.549999999999999">
      <c r="A238" s="994"/>
      <c r="B238" s="1643"/>
      <c r="C238" s="1643"/>
      <c r="D238" s="358"/>
      <c r="K238" s="1167"/>
      <c r="L238" s="1643"/>
      <c r="M238" s="1643"/>
      <c r="N238" s="1167"/>
      <c r="O238" s="1167"/>
      <c r="P238" s="1167"/>
      <c r="Q238" s="1167"/>
      <c r="R238" s="1643"/>
      <c r="S238" s="1167"/>
      <c r="T238" s="1167"/>
      <c r="U238" s="551"/>
      <c r="V238" s="1167"/>
      <c r="W238" s="1167"/>
      <c r="X238" s="1167"/>
      <c r="Y238" s="1167"/>
      <c r="Z238" s="1167"/>
      <c r="AA238" s="1639"/>
      <c r="AB238" s="573"/>
      <c r="AC238" s="573"/>
      <c r="AD238" s="573"/>
      <c r="AE238" s="573"/>
      <c r="AF238" s="1648">
        <v>11</v>
      </c>
    </row>
    <row s="1648" customFormat="1" customHeight="1" ht="11.549999999999999">
      <c r="A239" s="994"/>
      <c r="B239" s="1643"/>
      <c r="C239" s="1643"/>
      <c r="D239" s="358"/>
      <c r="K239" s="1167"/>
      <c r="L239" s="1643"/>
      <c r="M239" s="1643"/>
      <c r="N239" s="1167"/>
      <c r="O239" s="1167"/>
      <c r="P239" s="1167"/>
      <c r="Q239" s="1167"/>
      <c r="R239" s="1643"/>
      <c r="S239" s="1167"/>
      <c r="T239" s="1167"/>
      <c r="U239" s="551"/>
      <c r="V239" s="1167"/>
      <c r="W239" s="1167"/>
      <c r="X239" s="1167"/>
      <c r="Y239" s="1167"/>
      <c r="Z239" s="1167"/>
      <c r="AA239" s="1639"/>
      <c r="AB239" s="573"/>
      <c r="AC239" s="573"/>
      <c r="AD239" s="573"/>
      <c r="AE239" s="573"/>
      <c r="AF239" s="1648">
        <v>11</v>
      </c>
    </row>
    <row s="1648" customFormat="1" customHeight="1" ht="11.549999999999999">
      <c r="A240" s="994"/>
      <c r="B240" s="1643"/>
      <c r="C240" s="1643"/>
      <c r="D240" s="358"/>
      <c r="K240" s="1167"/>
      <c r="L240" s="1643"/>
      <c r="M240" s="1643"/>
      <c r="N240" s="1167"/>
      <c r="O240" s="1167"/>
      <c r="P240" s="1167"/>
      <c r="Q240" s="1167"/>
      <c r="R240" s="1643"/>
      <c r="S240" s="1167"/>
      <c r="T240" s="1167"/>
      <c r="U240" s="551"/>
      <c r="V240" s="1167"/>
      <c r="W240" s="1167"/>
      <c r="X240" s="1167"/>
      <c r="Y240" s="1167"/>
      <c r="Z240" s="1167"/>
      <c r="AA240" s="1639"/>
      <c r="AB240" s="573"/>
      <c r="AC240" s="573"/>
      <c r="AD240" s="573"/>
      <c r="AE240" s="573"/>
      <c r="AF240" s="1648">
        <v>11</v>
      </c>
    </row>
    <row s="1648" customFormat="1" customHeight="1" ht="11.549999999999999">
      <c r="A241" s="994"/>
      <c r="B241" s="1643"/>
      <c r="C241" s="1643"/>
      <c r="D241" s="358"/>
      <c r="K241" s="1167"/>
      <c r="L241" s="1643"/>
      <c r="M241" s="1643"/>
      <c r="N241" s="1167"/>
      <c r="O241" s="1167"/>
      <c r="P241" s="1167"/>
      <c r="Q241" s="1167"/>
      <c r="R241" s="1643"/>
      <c r="S241" s="1167"/>
      <c r="T241" s="1167"/>
      <c r="U241" s="551"/>
      <c r="V241" s="1167"/>
      <c r="W241" s="1167"/>
      <c r="X241" s="1167"/>
      <c r="Y241" s="1167"/>
      <c r="Z241" s="1167"/>
      <c r="AA241" s="1639"/>
      <c r="AB241" s="573"/>
      <c r="AC241" s="573"/>
      <c r="AD241" s="573"/>
      <c r="AE241" s="573"/>
      <c r="AF241" s="1648">
        <v>11</v>
      </c>
    </row>
    <row s="1648" customFormat="1" customHeight="1" ht="11.549999999999999">
      <c r="A242" s="994"/>
      <c r="B242" s="1643"/>
      <c r="C242" s="1643"/>
      <c r="D242" s="358"/>
      <c r="K242" s="1167"/>
      <c r="L242" s="1643"/>
      <c r="M242" s="1643"/>
      <c r="N242" s="1167"/>
      <c r="O242" s="1167"/>
      <c r="P242" s="1167"/>
      <c r="Q242" s="1167"/>
      <c r="R242" s="1643"/>
      <c r="S242" s="1167"/>
      <c r="T242" s="1167"/>
      <c r="U242" s="551"/>
      <c r="V242" s="1167"/>
      <c r="W242" s="1167"/>
      <c r="X242" s="1167"/>
      <c r="Y242" s="1167"/>
      <c r="Z242" s="1167"/>
      <c r="AA242" s="1639"/>
      <c r="AB242" s="573"/>
      <c r="AC242" s="573"/>
      <c r="AD242" s="573"/>
      <c r="AE242" s="573"/>
      <c r="AF242" s="1648">
        <v>11</v>
      </c>
    </row>
    <row s="1648" customFormat="1" customHeight="1" ht="11.549999999999999">
      <c r="A243" s="994"/>
      <c r="B243" s="1643"/>
      <c r="C243" s="1643"/>
      <c r="D243" s="358"/>
      <c r="K243" s="1167"/>
      <c r="L243" s="1643"/>
      <c r="M243" s="1643"/>
      <c r="N243" s="1167"/>
      <c r="O243" s="1167"/>
      <c r="P243" s="1167"/>
      <c r="Q243" s="1167"/>
      <c r="R243" s="1643"/>
      <c r="S243" s="1167"/>
      <c r="T243" s="1167"/>
      <c r="U243" s="551"/>
      <c r="V243" s="1167"/>
      <c r="W243" s="1167"/>
      <c r="X243" s="1167"/>
      <c r="Y243" s="1167"/>
      <c r="Z243" s="1167"/>
      <c r="AA243" s="1639"/>
      <c r="AB243" s="573"/>
      <c r="AC243" s="573"/>
      <c r="AD243" s="573"/>
      <c r="AE243" s="573"/>
      <c r="AF243" s="1648">
        <v>11</v>
      </c>
    </row>
    <row s="1648" customFormat="1" customHeight="1" ht="11.549999999999999">
      <c r="A244" s="994"/>
      <c r="B244" s="1643"/>
      <c r="C244" s="1643"/>
      <c r="D244" s="358"/>
      <c r="K244" s="1167"/>
      <c r="L244" s="1643"/>
      <c r="M244" s="1643"/>
      <c r="N244" s="1167"/>
      <c r="O244" s="1167"/>
      <c r="P244" s="1167"/>
      <c r="Q244" s="1167"/>
      <c r="R244" s="1643"/>
      <c r="S244" s="1167"/>
      <c r="T244" s="1167"/>
      <c r="U244" s="551"/>
      <c r="V244" s="1167"/>
      <c r="W244" s="1167"/>
      <c r="X244" s="1167"/>
      <c r="Y244" s="1167"/>
      <c r="Z244" s="1167"/>
      <c r="AA244" s="1639"/>
      <c r="AB244" s="573"/>
      <c r="AC244" s="573"/>
      <c r="AD244" s="573"/>
      <c r="AE244" s="573"/>
      <c r="AF244" s="1648">
        <v>11</v>
      </c>
    </row>
    <row s="1648" customFormat="1" customHeight="1" ht="11.549999999999999">
      <c r="A245" s="994"/>
      <c r="B245" s="1643"/>
      <c r="C245" s="1643"/>
      <c r="D245" s="358"/>
      <c r="K245" s="1167"/>
      <c r="L245" s="1643"/>
      <c r="M245" s="1643"/>
      <c r="N245" s="1167"/>
      <c r="O245" s="1167"/>
      <c r="P245" s="1167"/>
      <c r="Q245" s="1167"/>
      <c r="R245" s="1643"/>
      <c r="S245" s="1167"/>
      <c r="T245" s="1167"/>
      <c r="U245" s="551"/>
      <c r="V245" s="1167"/>
      <c r="W245" s="1167"/>
      <c r="X245" s="1167"/>
      <c r="Y245" s="1167"/>
      <c r="Z245" s="1167"/>
      <c r="AA245" s="1639"/>
      <c r="AB245" s="573"/>
      <c r="AC245" s="573"/>
      <c r="AD245" s="573"/>
      <c r="AE245" s="573"/>
      <c r="AF245" s="1648">
        <v>11</v>
      </c>
    </row>
    <row s="1648" customFormat="1" customHeight="1" ht="11.549999999999999">
      <c r="A246" s="994"/>
      <c r="B246" s="1643"/>
      <c r="C246" s="1643"/>
      <c r="D246" s="358"/>
      <c r="K246" s="1167"/>
      <c r="L246" s="1643"/>
      <c r="M246" s="1643"/>
      <c r="N246" s="1167"/>
      <c r="O246" s="1167"/>
      <c r="P246" s="1167"/>
      <c r="Q246" s="1167"/>
      <c r="R246" s="1643"/>
      <c r="S246" s="1167"/>
      <c r="T246" s="1167"/>
      <c r="U246" s="551"/>
      <c r="V246" s="1167"/>
      <c r="W246" s="1167"/>
      <c r="X246" s="1167"/>
      <c r="Y246" s="1167"/>
      <c r="Z246" s="1167"/>
      <c r="AA246" s="1639"/>
      <c r="AB246" s="573"/>
      <c r="AC246" s="573"/>
      <c r="AD246" s="573"/>
      <c r="AE246" s="573"/>
      <c r="AF246" s="1648">
        <v>11</v>
      </c>
    </row>
    <row s="1648" customFormat="1" customHeight="1" ht="11.549999999999999">
      <c r="A247" s="994"/>
      <c r="B247" s="1643"/>
      <c r="C247" s="1643"/>
      <c r="D247" s="358"/>
      <c r="K247" s="1167"/>
      <c r="L247" s="1643"/>
      <c r="M247" s="1643"/>
      <c r="N247" s="1167"/>
      <c r="O247" s="1167"/>
      <c r="P247" s="1167"/>
      <c r="Q247" s="1167"/>
      <c r="R247" s="1643"/>
      <c r="S247" s="1167"/>
      <c r="T247" s="1167"/>
      <c r="U247" s="551"/>
      <c r="V247" s="1167"/>
      <c r="W247" s="1167"/>
      <c r="X247" s="1167"/>
      <c r="Y247" s="1167"/>
      <c r="Z247" s="1167"/>
      <c r="AA247" s="1639"/>
      <c r="AB247" s="573"/>
      <c r="AC247" s="573"/>
      <c r="AD247" s="573"/>
      <c r="AE247" s="573"/>
      <c r="AF247" s="1648">
        <v>11</v>
      </c>
    </row>
    <row s="1648" customFormat="1" customHeight="1" ht="11.549999999999999">
      <c r="A248" s="994"/>
      <c r="B248" s="1643"/>
      <c r="C248" s="1643"/>
      <c r="D248" s="358"/>
      <c r="K248" s="1167"/>
      <c r="L248" s="1643"/>
      <c r="M248" s="1643"/>
      <c r="N248" s="1167"/>
      <c r="O248" s="1167"/>
      <c r="P248" s="1167"/>
      <c r="Q248" s="1167"/>
      <c r="R248" s="1643"/>
      <c r="S248" s="1167"/>
      <c r="T248" s="1167"/>
      <c r="U248" s="551"/>
      <c r="V248" s="1167"/>
      <c r="W248" s="1167"/>
      <c r="X248" s="1167"/>
      <c r="Y248" s="1167"/>
      <c r="Z248" s="1167"/>
      <c r="AA248" s="1639"/>
      <c r="AB248" s="573"/>
      <c r="AC248" s="573"/>
      <c r="AD248" s="573"/>
      <c r="AE248" s="573"/>
      <c r="AF248" s="1648">
        <v>11</v>
      </c>
    </row>
    <row s="1648" customFormat="1" customHeight="1" ht="11.549999999999999">
      <c r="A249" s="994"/>
      <c r="B249" s="1643"/>
      <c r="C249" s="1643"/>
      <c r="D249" s="358"/>
      <c r="K249" s="1167"/>
      <c r="L249" s="1643"/>
      <c r="M249" s="1643"/>
      <c r="N249" s="1167"/>
      <c r="O249" s="1167"/>
      <c r="P249" s="1167"/>
      <c r="Q249" s="1167"/>
      <c r="R249" s="1643"/>
      <c r="S249" s="1167"/>
      <c r="T249" s="1167"/>
      <c r="U249" s="551"/>
      <c r="V249" s="1167"/>
      <c r="W249" s="1167"/>
      <c r="X249" s="1167"/>
      <c r="Y249" s="1167"/>
      <c r="Z249" s="1167"/>
      <c r="AA249" s="1639"/>
      <c r="AB249" s="573"/>
      <c r="AC249" s="573"/>
      <c r="AD249" s="573"/>
      <c r="AE249" s="573"/>
      <c r="AF249" s="1648">
        <v>11</v>
      </c>
    </row>
    <row s="1648" customFormat="1" customHeight="1" ht="11.549999999999999">
      <c r="A250" s="994"/>
      <c r="B250" s="1643"/>
      <c r="C250" s="1643"/>
      <c r="D250" s="358"/>
      <c r="K250" s="1167"/>
      <c r="L250" s="1643"/>
      <c r="M250" s="1643"/>
      <c r="N250" s="1167"/>
      <c r="O250" s="1167"/>
      <c r="P250" s="1167"/>
      <c r="Q250" s="1167"/>
      <c r="R250" s="1643"/>
      <c r="S250" s="1167"/>
      <c r="T250" s="1167"/>
      <c r="U250" s="551"/>
      <c r="V250" s="1167"/>
      <c r="W250" s="1167"/>
      <c r="X250" s="1167"/>
      <c r="Y250" s="1167"/>
      <c r="Z250" s="1167"/>
      <c r="AA250" s="1639"/>
      <c r="AB250" s="573"/>
      <c r="AC250" s="573"/>
      <c r="AD250" s="573"/>
      <c r="AE250" s="573"/>
      <c r="AF250" s="1648">
        <v>11</v>
      </c>
    </row>
    <row s="1648" customFormat="1" customHeight="1" ht="11.549999999999999">
      <c r="A251" s="994"/>
      <c r="B251" s="1643"/>
      <c r="C251" s="1643"/>
      <c r="D251" s="358"/>
      <c r="K251" s="1167"/>
      <c r="L251" s="1643"/>
      <c r="M251" s="1643"/>
      <c r="N251" s="1167"/>
      <c r="O251" s="1167"/>
      <c r="P251" s="1167"/>
      <c r="Q251" s="1167"/>
      <c r="R251" s="1643"/>
      <c r="S251" s="1167"/>
      <c r="T251" s="1167"/>
      <c r="U251" s="551"/>
      <c r="V251" s="1167"/>
      <c r="W251" s="1167"/>
      <c r="X251" s="1167"/>
      <c r="Y251" s="1167"/>
      <c r="Z251" s="1167"/>
      <c r="AA251" s="1639"/>
      <c r="AB251" s="573"/>
      <c r="AC251" s="573"/>
      <c r="AD251" s="573"/>
      <c r="AE251" s="573"/>
      <c r="AF251" s="1648">
        <v>11</v>
      </c>
    </row>
    <row s="1648" customFormat="1" customHeight="1" ht="11.549999999999999">
      <c r="A252" s="994"/>
      <c r="B252" s="1643"/>
      <c r="C252" s="1643"/>
      <c r="D252" s="358"/>
      <c r="K252" s="1167"/>
      <c r="L252" s="1643"/>
      <c r="M252" s="1643"/>
      <c r="N252" s="1167"/>
      <c r="O252" s="1167"/>
      <c r="P252" s="1167"/>
      <c r="Q252" s="1167"/>
      <c r="R252" s="1643"/>
      <c r="S252" s="1167"/>
      <c r="T252" s="1167"/>
      <c r="U252" s="551"/>
      <c r="V252" s="1167"/>
      <c r="W252" s="1167"/>
      <c r="X252" s="1167"/>
      <c r="Y252" s="1167"/>
      <c r="Z252" s="1167"/>
      <c r="AA252" s="1639"/>
      <c r="AB252" s="573"/>
      <c r="AC252" s="573"/>
      <c r="AD252" s="573"/>
      <c r="AE252" s="573"/>
      <c r="AF252" s="1648">
        <v>11</v>
      </c>
    </row>
    <row s="1648" customFormat="1" customHeight="1" ht="11.549999999999999">
      <c r="A253" s="994"/>
      <c r="B253" s="1643"/>
      <c r="C253" s="1643"/>
      <c r="D253" s="358"/>
      <c r="K253" s="1167"/>
      <c r="L253" s="1643"/>
      <c r="M253" s="1643"/>
      <c r="N253" s="1167"/>
      <c r="O253" s="1167"/>
      <c r="P253" s="1167"/>
      <c r="Q253" s="1167"/>
      <c r="R253" s="1643"/>
      <c r="S253" s="1167"/>
      <c r="T253" s="1167"/>
      <c r="U253" s="551"/>
      <c r="V253" s="1167"/>
      <c r="W253" s="1167"/>
      <c r="X253" s="1167"/>
      <c r="Y253" s="1167"/>
      <c r="Z253" s="1167"/>
      <c r="AA253" s="1639"/>
      <c r="AB253" s="573"/>
      <c r="AC253" s="573"/>
      <c r="AD253" s="573"/>
      <c r="AE253" s="573"/>
      <c r="AF253" s="1648">
        <v>11</v>
      </c>
    </row>
    <row s="1648" customFormat="1" customHeight="1" ht="11.549999999999999">
      <c r="A254" s="994"/>
      <c r="B254" s="1643"/>
      <c r="C254" s="1643"/>
      <c r="D254" s="358"/>
      <c r="K254" s="1167"/>
      <c r="L254" s="1643"/>
      <c r="M254" s="1643"/>
      <c r="N254" s="1167"/>
      <c r="O254" s="1167"/>
      <c r="P254" s="1167"/>
      <c r="Q254" s="1167"/>
      <c r="R254" s="1643"/>
      <c r="S254" s="1167"/>
      <c r="T254" s="1167"/>
      <c r="U254" s="551"/>
      <c r="V254" s="1167"/>
      <c r="W254" s="1167"/>
      <c r="X254" s="1167"/>
      <c r="Y254" s="1167"/>
      <c r="Z254" s="1167"/>
      <c r="AA254" s="1639"/>
      <c r="AB254" s="573"/>
      <c r="AC254" s="573"/>
      <c r="AD254" s="573"/>
      <c r="AE254" s="573"/>
      <c r="AF254" s="1648">
        <v>11</v>
      </c>
    </row>
    <row s="1648" customFormat="1" customHeight="1" ht="11.549999999999999">
      <c r="A255" s="994"/>
      <c r="B255" s="1643"/>
      <c r="C255" s="1643"/>
      <c r="D255" s="358"/>
      <c r="K255" s="1167"/>
      <c r="L255" s="1643"/>
      <c r="M255" s="1643"/>
      <c r="N255" s="1167"/>
      <c r="O255" s="1167"/>
      <c r="P255" s="1167"/>
      <c r="Q255" s="1167"/>
      <c r="R255" s="1643"/>
      <c r="S255" s="1167"/>
      <c r="T255" s="1167"/>
      <c r="U255" s="551"/>
      <c r="V255" s="1167"/>
      <c r="W255" s="1167"/>
      <c r="X255" s="1167"/>
      <c r="Y255" s="1167"/>
      <c r="Z255" s="1167"/>
      <c r="AA255" s="1639"/>
      <c r="AB255" s="573"/>
      <c r="AC255" s="573"/>
      <c r="AD255" s="573"/>
      <c r="AE255" s="573"/>
      <c r="AF255" s="1648">
        <v>11</v>
      </c>
    </row>
    <row s="1648" customFormat="1" customHeight="1" ht="11.549999999999999">
      <c r="A256" s="994"/>
      <c r="B256" s="1643"/>
      <c r="C256" s="1643"/>
      <c r="D256" s="358"/>
      <c r="K256" s="1167"/>
      <c r="L256" s="1643"/>
      <c r="M256" s="1643"/>
      <c r="N256" s="1167"/>
      <c r="O256" s="1167"/>
      <c r="P256" s="1167"/>
      <c r="Q256" s="1167"/>
      <c r="R256" s="1643"/>
      <c r="S256" s="1167"/>
      <c r="T256" s="1167"/>
      <c r="U256" s="551"/>
      <c r="V256" s="1167"/>
      <c r="W256" s="1167"/>
      <c r="X256" s="1167"/>
      <c r="Y256" s="1167"/>
      <c r="Z256" s="1167"/>
      <c r="AA256" s="1639"/>
      <c r="AB256" s="573"/>
      <c r="AC256" s="573"/>
      <c r="AD256" s="573"/>
      <c r="AE256" s="573"/>
      <c r="AF256" s="1648">
        <v>11</v>
      </c>
    </row>
    <row s="1648" customFormat="1" customHeight="1" ht="11.549999999999999">
      <c r="A257" s="994"/>
      <c r="B257" s="1643"/>
      <c r="C257" s="1643"/>
      <c r="D257" s="358"/>
      <c r="K257" s="1167"/>
      <c r="L257" s="1643"/>
      <c r="M257" s="1643"/>
      <c r="N257" s="1167"/>
      <c r="O257" s="1167"/>
      <c r="P257" s="1167"/>
      <c r="Q257" s="1167"/>
      <c r="R257" s="1643"/>
      <c r="S257" s="1167"/>
      <c r="T257" s="1167"/>
      <c r="U257" s="551"/>
      <c r="V257" s="1167"/>
      <c r="W257" s="1167"/>
      <c r="X257" s="1167"/>
      <c r="Y257" s="1167"/>
      <c r="Z257" s="1167"/>
      <c r="AA257" s="1639"/>
      <c r="AB257" s="573"/>
      <c r="AC257" s="573"/>
      <c r="AD257" s="573"/>
      <c r="AE257" s="573"/>
      <c r="AF257" s="1648">
        <v>11</v>
      </c>
    </row>
    <row s="1648" customFormat="1" customHeight="1" ht="11.549999999999999">
      <c r="A258" s="994"/>
      <c r="B258" s="1643"/>
      <c r="C258" s="1643"/>
      <c r="D258" s="358"/>
      <c r="K258" s="1167"/>
      <c r="L258" s="1643"/>
      <c r="M258" s="1643"/>
      <c r="N258" s="1167"/>
      <c r="O258" s="1167"/>
      <c r="P258" s="1167"/>
      <c r="Q258" s="1167"/>
      <c r="R258" s="1643"/>
      <c r="S258" s="1167"/>
      <c r="T258" s="1167"/>
      <c r="U258" s="551"/>
      <c r="V258" s="1167"/>
      <c r="W258" s="1167"/>
      <c r="X258" s="1167"/>
      <c r="Y258" s="1167"/>
      <c r="Z258" s="1167"/>
      <c r="AA258" s="1639"/>
      <c r="AB258" s="573"/>
      <c r="AC258" s="573"/>
      <c r="AD258" s="573"/>
      <c r="AE258" s="573"/>
      <c r="AF258" s="1648">
        <v>11</v>
      </c>
    </row>
    <row s="1648" customFormat="1" customHeight="1" ht="11.549999999999999">
      <c r="A259" s="994"/>
      <c r="B259" s="1643"/>
      <c r="C259" s="1643"/>
      <c r="D259" s="358"/>
      <c r="K259" s="1167"/>
      <c r="L259" s="1643"/>
      <c r="M259" s="1643"/>
      <c r="N259" s="1167"/>
      <c r="O259" s="1167"/>
      <c r="P259" s="1167"/>
      <c r="Q259" s="1167"/>
      <c r="R259" s="1643"/>
      <c r="S259" s="1167"/>
      <c r="T259" s="1167"/>
      <c r="U259" s="551"/>
      <c r="V259" s="1167"/>
      <c r="W259" s="1167"/>
      <c r="X259" s="1167"/>
      <c r="Y259" s="1167"/>
      <c r="Z259" s="1167"/>
      <c r="AA259" s="1639"/>
      <c r="AB259" s="573"/>
      <c r="AC259" s="573"/>
      <c r="AD259" s="573"/>
      <c r="AE259" s="573"/>
      <c r="AF259" s="1648">
        <v>11</v>
      </c>
    </row>
    <row s="1648" customFormat="1" customHeight="1" ht="11.549999999999999">
      <c r="A260" s="994"/>
      <c r="B260" s="1643"/>
      <c r="C260" s="1643"/>
      <c r="D260" s="358"/>
      <c r="K260" s="1167"/>
      <c r="L260" s="1643"/>
      <c r="M260" s="1643"/>
      <c r="N260" s="1167"/>
      <c r="O260" s="1167"/>
      <c r="P260" s="1167"/>
      <c r="Q260" s="1167"/>
      <c r="R260" s="1643"/>
      <c r="S260" s="1167"/>
      <c r="T260" s="1167"/>
      <c r="U260" s="551"/>
      <c r="V260" s="1167"/>
      <c r="W260" s="1167"/>
      <c r="X260" s="1167"/>
      <c r="Y260" s="1167"/>
      <c r="Z260" s="1167"/>
      <c r="AA260" s="1639"/>
      <c r="AB260" s="573"/>
      <c r="AC260" s="573"/>
      <c r="AD260" s="573"/>
      <c r="AE260" s="573"/>
      <c r="AF260" s="1648">
        <v>11</v>
      </c>
    </row>
    <row s="1648" customFormat="1" customHeight="1" ht="11.549999999999999">
      <c r="A261" s="994"/>
      <c r="B261" s="1643"/>
      <c r="C261" s="1643"/>
      <c r="D261" s="358"/>
      <c r="K261" s="1167"/>
      <c r="L261" s="1643"/>
      <c r="M261" s="1643"/>
      <c r="N261" s="1167"/>
      <c r="O261" s="1167"/>
      <c r="P261" s="1167"/>
      <c r="Q261" s="1167"/>
      <c r="R261" s="1643"/>
      <c r="S261" s="1167"/>
      <c r="T261" s="1167"/>
      <c r="U261" s="551"/>
      <c r="V261" s="1167"/>
      <c r="W261" s="1167"/>
      <c r="X261" s="1167"/>
      <c r="Y261" s="1167"/>
      <c r="Z261" s="1167"/>
      <c r="AA261" s="1639"/>
      <c r="AB261" s="573"/>
      <c r="AC261" s="573"/>
      <c r="AD261" s="573"/>
      <c r="AE261" s="573"/>
      <c r="AF261" s="1648">
        <v>11</v>
      </c>
    </row>
    <row s="1648" customFormat="1" customHeight="1" ht="11.549999999999999">
      <c r="A262" s="994"/>
      <c r="B262" s="1643"/>
      <c r="C262" s="1643"/>
      <c r="D262" s="358"/>
      <c r="K262" s="1167"/>
      <c r="L262" s="1643"/>
      <c r="M262" s="1643"/>
      <c r="N262" s="1167"/>
      <c r="O262" s="1167"/>
      <c r="P262" s="1167"/>
      <c r="Q262" s="1167"/>
      <c r="R262" s="1643"/>
      <c r="S262" s="1167"/>
      <c r="T262" s="1167"/>
      <c r="U262" s="551"/>
      <c r="V262" s="1167"/>
      <c r="W262" s="1167"/>
      <c r="X262" s="1167"/>
      <c r="Y262" s="1167"/>
      <c r="Z262" s="1167"/>
      <c r="AA262" s="1639"/>
      <c r="AB262" s="573"/>
      <c r="AC262" s="573"/>
      <c r="AD262" s="573"/>
      <c r="AE262" s="573"/>
      <c r="AF262" s="1648">
        <v>11</v>
      </c>
    </row>
    <row s="1648" customFormat="1" customHeight="1" ht="11.549999999999999">
      <c r="A263" s="994"/>
      <c r="B263" s="1643"/>
      <c r="C263" s="1643"/>
      <c r="D263" s="358"/>
      <c r="K263" s="1167"/>
      <c r="L263" s="1643"/>
      <c r="M263" s="1643"/>
      <c r="N263" s="1167"/>
      <c r="O263" s="1167"/>
      <c r="P263" s="1167"/>
      <c r="Q263" s="1167"/>
      <c r="R263" s="1643"/>
      <c r="S263" s="1167"/>
      <c r="T263" s="1167"/>
      <c r="U263" s="551"/>
      <c r="V263" s="1167"/>
      <c r="W263" s="1167"/>
      <c r="X263" s="1167"/>
      <c r="Y263" s="1167"/>
      <c r="Z263" s="1167"/>
      <c r="AA263" s="1639"/>
      <c r="AB263" s="573"/>
      <c r="AC263" s="573"/>
      <c r="AD263" s="573"/>
      <c r="AE263" s="573"/>
      <c r="AF263" s="1648">
        <v>11</v>
      </c>
    </row>
    <row s="1648" customFormat="1" customHeight="1" ht="11.549999999999999">
      <c r="A264" s="994"/>
      <c r="B264" s="1643"/>
      <c r="C264" s="1643"/>
      <c r="D264" s="358"/>
      <c r="K264" s="1167"/>
      <c r="L264" s="1643"/>
      <c r="M264" s="1643"/>
      <c r="N264" s="1167"/>
      <c r="O264" s="1167"/>
      <c r="P264" s="1167"/>
      <c r="Q264" s="1167"/>
      <c r="R264" s="1643"/>
      <c r="S264" s="1167"/>
      <c r="T264" s="1167"/>
      <c r="U264" s="551"/>
      <c r="V264" s="1167"/>
      <c r="W264" s="1167"/>
      <c r="X264" s="1167"/>
      <c r="Y264" s="1167"/>
      <c r="Z264" s="1167"/>
      <c r="AA264" s="1639"/>
      <c r="AB264" s="573"/>
      <c r="AC264" s="573"/>
      <c r="AD264" s="573"/>
      <c r="AE264" s="573"/>
      <c r="AF264" s="1648">
        <v>11</v>
      </c>
    </row>
    <row s="1648" customFormat="1" customHeight="1" ht="11.549999999999999">
      <c r="A265" s="994"/>
      <c r="B265" s="1643"/>
      <c r="C265" s="1643"/>
      <c r="D265" s="358"/>
      <c r="K265" s="1167"/>
      <c r="L265" s="1643"/>
      <c r="M265" s="1643"/>
      <c r="N265" s="1167"/>
      <c r="O265" s="1167"/>
      <c r="P265" s="1167"/>
      <c r="Q265" s="1167"/>
      <c r="R265" s="1643"/>
      <c r="S265" s="1167"/>
      <c r="T265" s="1167"/>
      <c r="U265" s="551"/>
      <c r="V265" s="1167"/>
      <c r="W265" s="1167"/>
      <c r="X265" s="1167"/>
      <c r="Y265" s="1167"/>
      <c r="Z265" s="1167"/>
      <c r="AA265" s="1639"/>
      <c r="AB265" s="573"/>
      <c r="AC265" s="573"/>
      <c r="AD265" s="573"/>
      <c r="AE265" s="573"/>
      <c r="AF265" s="1648">
        <v>11</v>
      </c>
    </row>
    <row s="1648" customFormat="1" customHeight="1" ht="11.549999999999999">
      <c r="A266" s="994"/>
      <c r="B266" s="1643"/>
      <c r="C266" s="1643"/>
      <c r="D266" s="358"/>
      <c r="K266" s="1167"/>
      <c r="L266" s="1643"/>
      <c r="M266" s="1643"/>
      <c r="N266" s="1167"/>
      <c r="O266" s="1167"/>
      <c r="P266" s="1167"/>
      <c r="Q266" s="1167"/>
      <c r="R266" s="1643"/>
      <c r="S266" s="1167"/>
      <c r="T266" s="1167"/>
      <c r="U266" s="551"/>
      <c r="V266" s="1167"/>
      <c r="W266" s="1167"/>
      <c r="X266" s="1167"/>
      <c r="Y266" s="1167"/>
      <c r="Z266" s="1167"/>
      <c r="AA266" s="1639"/>
      <c r="AB266" s="573"/>
      <c r="AC266" s="573"/>
      <c r="AD266" s="573"/>
      <c r="AE266" s="573"/>
      <c r="AF266" s="1648">
        <v>11</v>
      </c>
    </row>
    <row s="1648" customFormat="1" customHeight="1" ht="11.549999999999999">
      <c r="A267" s="994"/>
      <c r="B267" s="1643"/>
      <c r="C267" s="1643"/>
      <c r="D267" s="358"/>
      <c r="K267" s="1167"/>
      <c r="L267" s="1643"/>
      <c r="M267" s="1643"/>
      <c r="N267" s="1167"/>
      <c r="O267" s="1167"/>
      <c r="P267" s="1167"/>
      <c r="Q267" s="1167"/>
      <c r="R267" s="1643"/>
      <c r="S267" s="1167"/>
      <c r="T267" s="1167"/>
      <c r="U267" s="551"/>
      <c r="V267" s="1167"/>
      <c r="W267" s="1167"/>
      <c r="X267" s="1167"/>
      <c r="Y267" s="1167"/>
      <c r="Z267" s="1167"/>
      <c r="AA267" s="1639"/>
      <c r="AB267" s="573"/>
      <c r="AC267" s="573"/>
      <c r="AD267" s="573"/>
      <c r="AE267" s="573"/>
      <c r="AF267" s="1648">
        <v>11</v>
      </c>
    </row>
    <row s="1648" customFormat="1" customHeight="1" ht="11.549999999999999">
      <c r="A268" s="994"/>
      <c r="B268" s="1643"/>
      <c r="C268" s="1643"/>
      <c r="D268" s="358"/>
      <c r="K268" s="1167"/>
      <c r="L268" s="1643"/>
      <c r="M268" s="1643"/>
      <c r="N268" s="1167"/>
      <c r="O268" s="1167"/>
      <c r="P268" s="1167"/>
      <c r="Q268" s="1167"/>
      <c r="R268" s="1643"/>
      <c r="S268" s="1167"/>
      <c r="T268" s="1167"/>
      <c r="U268" s="551"/>
      <c r="V268" s="1167"/>
      <c r="W268" s="1167"/>
      <c r="X268" s="1167"/>
      <c r="Y268" s="1167"/>
      <c r="Z268" s="1167"/>
      <c r="AA268" s="1639"/>
      <c r="AB268" s="573"/>
      <c r="AC268" s="573"/>
      <c r="AD268" s="573"/>
      <c r="AE268" s="573"/>
      <c r="AF268" s="1648">
        <v>11</v>
      </c>
    </row>
    <row s="1648" customFormat="1" customHeight="1" ht="11.549999999999999">
      <c r="A269" s="994"/>
      <c r="B269" s="1643"/>
      <c r="C269" s="1643"/>
      <c r="D269" s="358"/>
      <c r="K269" s="1167"/>
      <c r="L269" s="1643"/>
      <c r="M269" s="1643"/>
      <c r="N269" s="1167"/>
      <c r="O269" s="1167"/>
      <c r="P269" s="1167"/>
      <c r="Q269" s="1167"/>
      <c r="R269" s="1643"/>
      <c r="S269" s="1167"/>
      <c r="T269" s="1167"/>
      <c r="U269" s="551"/>
      <c r="V269" s="1167"/>
      <c r="W269" s="1167"/>
      <c r="X269" s="1167"/>
      <c r="Y269" s="1167"/>
      <c r="Z269" s="1167"/>
      <c r="AA269" s="1639"/>
      <c r="AB269" s="573"/>
      <c r="AC269" s="573"/>
      <c r="AD269" s="573"/>
      <c r="AE269" s="573"/>
      <c r="AF269" s="1648">
        <v>11</v>
      </c>
    </row>
    <row s="1648" customFormat="1" customHeight="1" ht="11.549999999999999">
      <c r="A270" s="994"/>
      <c r="B270" s="1643"/>
      <c r="C270" s="1643"/>
      <c r="D270" s="358"/>
      <c r="K270" s="1167"/>
      <c r="L270" s="1643"/>
      <c r="M270" s="1643"/>
      <c r="N270" s="1167"/>
      <c r="O270" s="1167"/>
      <c r="P270" s="1167"/>
      <c r="Q270" s="1167"/>
      <c r="R270" s="1643"/>
      <c r="S270" s="1167"/>
      <c r="T270" s="1167"/>
      <c r="U270" s="551"/>
      <c r="V270" s="1167"/>
      <c r="W270" s="1167"/>
      <c r="X270" s="1167"/>
      <c r="Y270" s="1167"/>
      <c r="Z270" s="1167"/>
      <c r="AA270" s="1639"/>
      <c r="AB270" s="573"/>
      <c r="AC270" s="573"/>
      <c r="AD270" s="573"/>
      <c r="AE270" s="573"/>
      <c r="AF270" s="1648">
        <v>11</v>
      </c>
    </row>
    <row s="1648" customFormat="1" customHeight="1" ht="11.549999999999999">
      <c r="A271" s="994"/>
      <c r="B271" s="1643"/>
      <c r="C271" s="1643"/>
      <c r="D271" s="358"/>
      <c r="K271" s="1167"/>
      <c r="L271" s="1643"/>
      <c r="M271" s="1643"/>
      <c r="N271" s="1167"/>
      <c r="O271" s="1167"/>
      <c r="P271" s="1167"/>
      <c r="Q271" s="1167"/>
      <c r="R271" s="1643"/>
      <c r="S271" s="1167"/>
      <c r="T271" s="1167"/>
      <c r="U271" s="551"/>
      <c r="V271" s="1167"/>
      <c r="W271" s="1167"/>
      <c r="X271" s="1167"/>
      <c r="Y271" s="1167"/>
      <c r="Z271" s="1167"/>
      <c r="AA271" s="1639"/>
      <c r="AB271" s="573"/>
      <c r="AC271" s="573"/>
      <c r="AD271" s="573"/>
      <c r="AE271" s="573"/>
      <c r="AF271" s="1648">
        <v>11</v>
      </c>
    </row>
    <row s="1648" customFormat="1" customHeight="1" ht="11.549999999999999">
      <c r="A272" s="994"/>
      <c r="B272" s="1643"/>
      <c r="C272" s="1643"/>
      <c r="D272" s="358"/>
      <c r="K272" s="1167"/>
      <c r="L272" s="1643"/>
      <c r="M272" s="1643"/>
      <c r="N272" s="1167"/>
      <c r="O272" s="1167"/>
      <c r="P272" s="1167"/>
      <c r="Q272" s="1167"/>
      <c r="R272" s="1643"/>
      <c r="S272" s="1167"/>
      <c r="T272" s="1167"/>
      <c r="U272" s="551"/>
      <c r="V272" s="1167"/>
      <c r="W272" s="1167"/>
      <c r="X272" s="1167"/>
      <c r="Y272" s="1167"/>
      <c r="Z272" s="1167"/>
      <c r="AA272" s="1639"/>
      <c r="AB272" s="573"/>
      <c r="AC272" s="573"/>
      <c r="AD272" s="573"/>
      <c r="AE272" s="573"/>
      <c r="AF272" s="1648">
        <v>11</v>
      </c>
    </row>
    <row s="1648" customFormat="1" customHeight="1" ht="11.549999999999999">
      <c r="A273" s="994"/>
      <c r="B273" s="1643"/>
      <c r="C273" s="1643"/>
      <c r="D273" s="358"/>
      <c r="K273" s="1167"/>
      <c r="L273" s="1643"/>
      <c r="M273" s="1643"/>
      <c r="N273" s="1167"/>
      <c r="O273" s="1167"/>
      <c r="P273" s="1167"/>
      <c r="Q273" s="1167"/>
      <c r="R273" s="1643"/>
      <c r="S273" s="1167"/>
      <c r="T273" s="1167"/>
      <c r="U273" s="551"/>
      <c r="V273" s="1167"/>
      <c r="W273" s="1167"/>
      <c r="X273" s="1167"/>
      <c r="Y273" s="1167"/>
      <c r="Z273" s="1167"/>
      <c r="AA273" s="1639"/>
      <c r="AB273" s="573"/>
      <c r="AC273" s="573"/>
      <c r="AD273" s="573"/>
      <c r="AE273" s="573"/>
      <c r="AF273" s="1648">
        <v>11</v>
      </c>
    </row>
    <row s="1648" customFormat="1" customHeight="1" ht="11.549999999999999">
      <c r="A274" s="994"/>
      <c r="B274" s="1643"/>
      <c r="C274" s="1643"/>
      <c r="D274" s="358"/>
      <c r="K274" s="1167"/>
      <c r="L274" s="1643"/>
      <c r="M274" s="1643"/>
      <c r="N274" s="1167"/>
      <c r="O274" s="1167"/>
      <c r="P274" s="1167"/>
      <c r="Q274" s="1167"/>
      <c r="R274" s="1643"/>
      <c r="S274" s="1167"/>
      <c r="T274" s="1167"/>
      <c r="U274" s="551"/>
      <c r="V274" s="1167"/>
      <c r="W274" s="1167"/>
      <c r="X274" s="1167"/>
      <c r="Y274" s="1167"/>
      <c r="Z274" s="1167"/>
      <c r="AA274" s="1639"/>
      <c r="AB274" s="573"/>
      <c r="AC274" s="573"/>
      <c r="AD274" s="573"/>
      <c r="AE274" s="573"/>
      <c r="AF274" s="1648">
        <v>11</v>
      </c>
    </row>
    <row s="1648" customFormat="1" customHeight="1" ht="11.549999999999999">
      <c r="A275" s="994"/>
      <c r="B275" s="1643"/>
      <c r="C275" s="1643"/>
      <c r="D275" s="358"/>
      <c r="K275" s="1167"/>
      <c r="L275" s="1643"/>
      <c r="M275" s="1643"/>
      <c r="N275" s="1167"/>
      <c r="O275" s="1167"/>
      <c r="P275" s="1167"/>
      <c r="Q275" s="1167"/>
      <c r="R275" s="1643"/>
      <c r="S275" s="1167"/>
      <c r="T275" s="1167"/>
      <c r="U275" s="551"/>
      <c r="V275" s="1167"/>
      <c r="W275" s="1167"/>
      <c r="X275" s="1167"/>
      <c r="Y275" s="1167"/>
      <c r="Z275" s="1167"/>
      <c r="AA275" s="1639"/>
      <c r="AB275" s="573"/>
      <c r="AC275" s="573"/>
      <c r="AD275" s="573"/>
      <c r="AE275" s="573"/>
      <c r="AF275" s="1648">
        <v>11</v>
      </c>
    </row>
    <row s="1648" customFormat="1" customHeight="1" ht="11.549999999999999">
      <c r="A276" s="994"/>
      <c r="B276" s="1643"/>
      <c r="C276" s="1643"/>
      <c r="D276" s="358"/>
      <c r="K276" s="1167"/>
      <c r="L276" s="1643"/>
      <c r="M276" s="1643"/>
      <c r="N276" s="1167"/>
      <c r="O276" s="1167"/>
      <c r="P276" s="1167"/>
      <c r="Q276" s="1167"/>
      <c r="R276" s="1643"/>
      <c r="S276" s="1167"/>
      <c r="T276" s="1167"/>
      <c r="U276" s="551"/>
      <c r="V276" s="1167"/>
      <c r="W276" s="1167"/>
      <c r="X276" s="1167"/>
      <c r="Y276" s="1167"/>
      <c r="Z276" s="1167"/>
      <c r="AA276" s="1639"/>
      <c r="AB276" s="573"/>
      <c r="AC276" s="573"/>
      <c r="AD276" s="573"/>
      <c r="AE276" s="573"/>
      <c r="AF276" s="1648">
        <v>11</v>
      </c>
    </row>
    <row s="1648" customFormat="1" customHeight="1" ht="11.549999999999999">
      <c r="A277" s="994"/>
      <c r="B277" s="1643"/>
      <c r="C277" s="1643"/>
      <c r="D277" s="358"/>
      <c r="K277" s="1167"/>
      <c r="L277" s="1643"/>
      <c r="M277" s="1643"/>
      <c r="N277" s="1167"/>
      <c r="O277" s="1167"/>
      <c r="P277" s="1167"/>
      <c r="Q277" s="1167"/>
      <c r="R277" s="1643"/>
      <c r="S277" s="1167"/>
      <c r="T277" s="1167"/>
      <c r="U277" s="551"/>
      <c r="V277" s="1167"/>
      <c r="W277" s="1167"/>
      <c r="X277" s="1167"/>
      <c r="Y277" s="1167"/>
      <c r="Z277" s="1167"/>
      <c r="AA277" s="1639"/>
      <c r="AB277" s="573"/>
      <c r="AC277" s="573"/>
      <c r="AD277" s="573"/>
      <c r="AE277" s="573"/>
      <c r="AF277" s="1648">
        <v>11</v>
      </c>
    </row>
    <row s="1648" customFormat="1" customHeight="1" ht="11.549999999999999">
      <c r="A278" s="994"/>
      <c r="B278" s="1643"/>
      <c r="C278" s="1643"/>
      <c r="D278" s="358"/>
      <c r="K278" s="1167"/>
      <c r="L278" s="1643"/>
      <c r="M278" s="1643"/>
      <c r="N278" s="1167"/>
      <c r="O278" s="1167"/>
      <c r="P278" s="1167"/>
      <c r="Q278" s="1167"/>
      <c r="R278" s="1643"/>
      <c r="S278" s="1167"/>
      <c r="T278" s="1167"/>
      <c r="U278" s="551"/>
      <c r="V278" s="1167"/>
      <c r="W278" s="1167"/>
      <c r="X278" s="1167"/>
      <c r="Y278" s="1167"/>
      <c r="Z278" s="1167"/>
      <c r="AA278" s="1639"/>
      <c r="AB278" s="573"/>
      <c r="AC278" s="573"/>
      <c r="AD278" s="573"/>
      <c r="AE278" s="573"/>
      <c r="AF278" s="1648">
        <v>11</v>
      </c>
    </row>
    <row s="1648" customFormat="1" customHeight="1" ht="11.549999999999999">
      <c r="A279" s="994"/>
      <c r="B279" s="1643"/>
      <c r="C279" s="1643"/>
      <c r="D279" s="358"/>
      <c r="K279" s="1167"/>
      <c r="L279" s="1643"/>
      <c r="M279" s="1643"/>
      <c r="N279" s="1167"/>
      <c r="O279" s="1167"/>
      <c r="P279" s="1167"/>
      <c r="Q279" s="1167"/>
      <c r="R279" s="1643"/>
      <c r="S279" s="1167"/>
      <c r="T279" s="1167"/>
      <c r="U279" s="551"/>
      <c r="V279" s="1167"/>
      <c r="W279" s="1167"/>
      <c r="X279" s="1167"/>
      <c r="Y279" s="1167"/>
      <c r="Z279" s="1167"/>
      <c r="AA279" s="1639"/>
      <c r="AB279" s="573"/>
      <c r="AC279" s="573"/>
      <c r="AD279" s="573"/>
      <c r="AE279" s="573"/>
      <c r="AF279" s="1648">
        <v>11</v>
      </c>
    </row>
    <row s="1648" customFormat="1" customHeight="1" ht="11.549999999999999">
      <c r="A280" s="994"/>
      <c r="B280" s="1643"/>
      <c r="C280" s="1643"/>
      <c r="D280" s="358"/>
      <c r="K280" s="1167"/>
      <c r="L280" s="1643"/>
      <c r="M280" s="1643"/>
      <c r="N280" s="1167"/>
      <c r="O280" s="1167"/>
      <c r="P280" s="1167"/>
      <c r="Q280" s="1167"/>
      <c r="R280" s="1643"/>
      <c r="S280" s="1167"/>
      <c r="T280" s="1167"/>
      <c r="U280" s="551"/>
      <c r="V280" s="1167"/>
      <c r="W280" s="1167"/>
      <c r="X280" s="1167"/>
      <c r="Y280" s="1167"/>
      <c r="Z280" s="1167"/>
      <c r="AA280" s="1639"/>
      <c r="AB280" s="573"/>
      <c r="AC280" s="573"/>
      <c r="AD280" s="573"/>
      <c r="AE280" s="573"/>
      <c r="AF280" s="1648">
        <v>11</v>
      </c>
    </row>
    <row s="1648" customFormat="1" customHeight="1" ht="11.549999999999999">
      <c r="A281" s="994"/>
      <c r="B281" s="1643"/>
      <c r="C281" s="1643"/>
      <c r="D281" s="358"/>
      <c r="K281" s="1167"/>
      <c r="L281" s="1643"/>
      <c r="M281" s="1643"/>
      <c r="N281" s="1167"/>
      <c r="O281" s="1167"/>
      <c r="P281" s="1167"/>
      <c r="Q281" s="1167"/>
      <c r="R281" s="1643"/>
      <c r="S281" s="1167"/>
      <c r="T281" s="1167"/>
      <c r="U281" s="551"/>
      <c r="V281" s="1167"/>
      <c r="W281" s="1167"/>
      <c r="X281" s="1167"/>
      <c r="Y281" s="1167"/>
      <c r="Z281" s="1167"/>
      <c r="AA281" s="1639"/>
      <c r="AB281" s="573"/>
      <c r="AC281" s="573"/>
      <c r="AD281" s="573"/>
      <c r="AE281" s="573"/>
      <c r="AF281" s="1648">
        <v>11</v>
      </c>
    </row>
    <row s="1648" customFormat="1" customHeight="1" ht="11.549999999999999">
      <c r="A282" s="994"/>
      <c r="B282" s="1643"/>
      <c r="C282" s="1643"/>
      <c r="D282" s="358"/>
      <c r="K282" s="1167"/>
      <c r="L282" s="1643"/>
      <c r="M282" s="1643"/>
      <c r="N282" s="1167"/>
      <c r="O282" s="1167"/>
      <c r="P282" s="1167"/>
      <c r="Q282" s="1167"/>
      <c r="R282" s="1643"/>
      <c r="S282" s="1167"/>
      <c r="T282" s="1167"/>
      <c r="U282" s="551"/>
      <c r="V282" s="1167"/>
      <c r="W282" s="1167"/>
      <c r="X282" s="1167"/>
      <c r="Y282" s="1167"/>
      <c r="Z282" s="1167"/>
      <c r="AA282" s="1639"/>
      <c r="AB282" s="573"/>
      <c r="AC282" s="573"/>
      <c r="AD282" s="573"/>
      <c r="AE282" s="573"/>
      <c r="AF282" s="1648">
        <v>11</v>
      </c>
    </row>
    <row s="1648" customFormat="1" customHeight="1" ht="11.549999999999999">
      <c r="A283" s="994"/>
      <c r="B283" s="1643"/>
      <c r="C283" s="1643"/>
      <c r="D283" s="358"/>
      <c r="K283" s="1167"/>
      <c r="L283" s="1643"/>
      <c r="M283" s="1643"/>
      <c r="N283" s="1167"/>
      <c r="O283" s="1167"/>
      <c r="P283" s="1167"/>
      <c r="Q283" s="1167"/>
      <c r="R283" s="1643"/>
      <c r="S283" s="1167"/>
      <c r="T283" s="1167"/>
      <c r="U283" s="551"/>
      <c r="V283" s="1167"/>
      <c r="W283" s="1167"/>
      <c r="X283" s="1167"/>
      <c r="Y283" s="1167"/>
      <c r="Z283" s="1167"/>
      <c r="AA283" s="1639"/>
      <c r="AB283" s="573"/>
      <c r="AC283" s="573"/>
      <c r="AD283" s="573"/>
      <c r="AE283" s="573"/>
      <c r="AF283" s="1648">
        <v>11</v>
      </c>
    </row>
    <row s="1648" customFormat="1" customHeight="1" ht="11.549999999999999">
      <c r="A284" s="994"/>
      <c r="B284" s="1643"/>
      <c r="C284" s="1643"/>
      <c r="D284" s="358"/>
      <c r="K284" s="1167"/>
      <c r="L284" s="1643"/>
      <c r="M284" s="1643"/>
      <c r="N284" s="1167"/>
      <c r="O284" s="1167"/>
      <c r="P284" s="1167"/>
      <c r="Q284" s="1167"/>
      <c r="R284" s="1643"/>
      <c r="S284" s="1167"/>
      <c r="T284" s="1167"/>
      <c r="U284" s="551"/>
      <c r="V284" s="1167"/>
      <c r="W284" s="1167"/>
      <c r="X284" s="1167"/>
      <c r="Y284" s="1167"/>
      <c r="Z284" s="1167"/>
      <c r="AA284" s="1639"/>
      <c r="AB284" s="573"/>
      <c r="AC284" s="573"/>
      <c r="AD284" s="573"/>
      <c r="AE284" s="573"/>
      <c r="AF284" s="1648">
        <v>11</v>
      </c>
    </row>
    <row s="1648" customFormat="1" customHeight="1" ht="11.549999999999999">
      <c r="A285" s="994"/>
      <c r="B285" s="1643"/>
      <c r="C285" s="1643"/>
      <c r="D285" s="358"/>
      <c r="K285" s="1167"/>
      <c r="L285" s="1643"/>
      <c r="M285" s="1643"/>
      <c r="N285" s="1167"/>
      <c r="O285" s="1167"/>
      <c r="P285" s="1167"/>
      <c r="Q285" s="1167"/>
      <c r="R285" s="1643"/>
      <c r="S285" s="1167"/>
      <c r="T285" s="1167"/>
      <c r="U285" s="551"/>
      <c r="V285" s="1167"/>
      <c r="W285" s="1167"/>
      <c r="X285" s="1167"/>
      <c r="Y285" s="1167"/>
      <c r="Z285" s="1167"/>
      <c r="AA285" s="1639"/>
      <c r="AB285" s="573"/>
      <c r="AC285" s="573"/>
      <c r="AD285" s="573"/>
      <c r="AE285" s="573"/>
      <c r="AF285" s="1648">
        <v>11</v>
      </c>
    </row>
    <row s="1648" customFormat="1" customHeight="1" ht="11.549999999999999">
      <c r="A286" s="994"/>
      <c r="B286" s="1643"/>
      <c r="C286" s="1643"/>
      <c r="D286" s="358"/>
      <c r="K286" s="1167"/>
      <c r="L286" s="1643"/>
      <c r="M286" s="1643"/>
      <c r="N286" s="1167"/>
      <c r="O286" s="1167"/>
      <c r="P286" s="1167"/>
      <c r="Q286" s="1167"/>
      <c r="R286" s="1643"/>
      <c r="S286" s="1167"/>
      <c r="T286" s="1167"/>
      <c r="U286" s="551"/>
      <c r="V286" s="1167"/>
      <c r="W286" s="1167"/>
      <c r="X286" s="1167"/>
      <c r="Y286" s="1167"/>
      <c r="Z286" s="1167"/>
      <c r="AA286" s="1639"/>
      <c r="AB286" s="573"/>
      <c r="AC286" s="573"/>
      <c r="AD286" s="573"/>
      <c r="AE286" s="573"/>
      <c r="AF286" s="1648">
        <v>11</v>
      </c>
    </row>
    <row s="1648" customFormat="1" customHeight="1" ht="11.549999999999999">
      <c r="A287" s="994"/>
      <c r="B287" s="1643"/>
      <c r="C287" s="1643"/>
      <c r="D287" s="358"/>
      <c r="K287" s="1167"/>
      <c r="L287" s="1643"/>
      <c r="M287" s="1643"/>
      <c r="N287" s="1167"/>
      <c r="O287" s="1167"/>
      <c r="P287" s="1167"/>
      <c r="Q287" s="1167"/>
      <c r="R287" s="1643"/>
      <c r="S287" s="1167"/>
      <c r="T287" s="1167"/>
      <c r="U287" s="551"/>
      <c r="V287" s="1167"/>
      <c r="W287" s="1167"/>
      <c r="X287" s="1167"/>
      <c r="Y287" s="1167"/>
      <c r="Z287" s="1167"/>
      <c r="AA287" s="1639"/>
      <c r="AB287" s="573"/>
      <c r="AC287" s="573"/>
      <c r="AD287" s="573"/>
      <c r="AE287" s="573"/>
      <c r="AF287" s="1648">
        <v>11</v>
      </c>
    </row>
    <row s="1648" customFormat="1" customHeight="1" ht="11.549999999999999">
      <c r="A288" s="994"/>
      <c r="B288" s="1643"/>
      <c r="C288" s="1643"/>
      <c r="D288" s="358"/>
      <c r="K288" s="1167"/>
      <c r="L288" s="1643"/>
      <c r="M288" s="1643"/>
      <c r="N288" s="1167"/>
      <c r="O288" s="1167"/>
      <c r="P288" s="1167"/>
      <c r="Q288" s="1167"/>
      <c r="R288" s="1643"/>
      <c r="S288" s="1167"/>
      <c r="T288" s="1167"/>
      <c r="U288" s="551"/>
      <c r="V288" s="1167"/>
      <c r="W288" s="1167"/>
      <c r="X288" s="1167"/>
      <c r="Y288" s="1167"/>
      <c r="Z288" s="1167"/>
      <c r="AA288" s="1639"/>
      <c r="AB288" s="573"/>
      <c r="AC288" s="573"/>
      <c r="AD288" s="573"/>
      <c r="AE288" s="573"/>
      <c r="AF288" s="1648">
        <v>11</v>
      </c>
    </row>
    <row customHeight="1" ht="11.549999999999999">
      <c r="AF289" s="1638">
        <v>11</v>
      </c>
    </row>
    <row customHeight="1" ht="11.549999999999999">
      <c r="AF290" s="1638">
        <v>11</v>
      </c>
    </row>
    <row customHeight="1" ht="11.549999999999999">
      <c r="AF291" s="1638">
        <v>11</v>
      </c>
    </row>
    <row customHeight="1" ht="11.549999999999999">
      <c r="A292" s="997"/>
      <c r="B292" s="1638"/>
      <c r="D292" s="1638"/>
      <c r="K292" s="1638"/>
      <c r="N292" s="1638"/>
      <c r="O292" s="1638"/>
      <c r="P292" s="1638"/>
      <c r="Q292" s="1638"/>
      <c r="S292" s="1638"/>
      <c r="T292" s="1638"/>
      <c r="U292" s="1638"/>
      <c r="V292" s="1638"/>
      <c r="W292" s="1638"/>
      <c r="X292" s="1638"/>
      <c r="Y292" s="1638"/>
      <c r="Z292" s="1638"/>
      <c r="AA292" s="1638"/>
      <c r="AB292" s="1638"/>
      <c r="AC292" s="1638"/>
      <c r="AD292" s="1638"/>
      <c r="AE292" s="1638"/>
      <c r="AF292" s="1638">
        <v>11</v>
      </c>
    </row>
    <row customHeight="1" ht="11.549999999999999">
      <c r="A293" s="997"/>
      <c r="B293" s="1638"/>
      <c r="D293" s="1638"/>
      <c r="K293" s="1638"/>
      <c r="N293" s="1638"/>
      <c r="O293" s="1638"/>
      <c r="P293" s="1638"/>
      <c r="Q293" s="1638"/>
      <c r="S293" s="1638"/>
      <c r="T293" s="1638"/>
      <c r="U293" s="1638"/>
      <c r="V293" s="1638"/>
      <c r="W293" s="1638"/>
      <c r="X293" s="1638"/>
      <c r="Y293" s="1638"/>
      <c r="Z293" s="1638"/>
      <c r="AA293" s="1638"/>
      <c r="AB293" s="1638"/>
      <c r="AC293" s="1638"/>
      <c r="AD293" s="1638"/>
      <c r="AE293" s="1638"/>
      <c r="AF293" s="1638">
        <v>11</v>
      </c>
    </row>
    <row customHeight="1" ht="11.549999999999999">
      <c r="A294" s="997"/>
      <c r="B294" s="1638"/>
      <c r="D294" s="1638"/>
      <c r="K294" s="1638"/>
      <c r="N294" s="1638"/>
      <c r="O294" s="1638"/>
      <c r="P294" s="1638"/>
      <c r="Q294" s="1638"/>
      <c r="S294" s="1638"/>
      <c r="T294" s="1638"/>
      <c r="U294" s="1638"/>
      <c r="V294" s="1638"/>
      <c r="W294" s="1638"/>
      <c r="X294" s="1638"/>
      <c r="Y294" s="1638"/>
      <c r="Z294" s="1638"/>
      <c r="AA294" s="1638"/>
      <c r="AB294" s="1638"/>
      <c r="AC294" s="1638"/>
      <c r="AD294" s="1638"/>
      <c r="AE294" s="1638"/>
      <c r="AF294" s="1638">
        <v>11</v>
      </c>
    </row>
    <row customHeight="1" ht="11.549999999999999">
      <c r="A295" s="997"/>
      <c r="B295" s="1638"/>
      <c r="D295" s="1638"/>
      <c r="K295" s="1638"/>
      <c r="N295" s="1638"/>
      <c r="O295" s="1638"/>
      <c r="P295" s="1638"/>
      <c r="Q295" s="1638"/>
      <c r="S295" s="1638"/>
      <c r="T295" s="1638"/>
      <c r="U295" s="1638"/>
      <c r="V295" s="1638"/>
      <c r="W295" s="1638"/>
      <c r="X295" s="1638"/>
      <c r="Y295" s="1638"/>
      <c r="Z295" s="1638"/>
      <c r="AA295" s="1638"/>
      <c r="AB295" s="1638"/>
      <c r="AC295" s="1638"/>
      <c r="AD295" s="1638"/>
      <c r="AE295" s="1638"/>
      <c r="AF295" s="1638">
        <v>11</v>
      </c>
    </row>
    <row customHeight="1" ht="11.549999999999999">
      <c r="A296" s="997"/>
      <c r="B296" s="1638"/>
      <c r="D296" s="1638"/>
      <c r="K296" s="1638"/>
      <c r="N296" s="1638"/>
      <c r="O296" s="1638"/>
      <c r="P296" s="1638"/>
      <c r="Q296" s="1638"/>
      <c r="S296" s="1638"/>
      <c r="T296" s="1638"/>
      <c r="U296" s="1638"/>
      <c r="V296" s="1638"/>
      <c r="W296" s="1638"/>
      <c r="X296" s="1638"/>
      <c r="Y296" s="1638"/>
      <c r="Z296" s="1638"/>
      <c r="AA296" s="1638"/>
      <c r="AB296" s="1638"/>
      <c r="AC296" s="1638"/>
      <c r="AD296" s="1638"/>
      <c r="AE296" s="1638"/>
      <c r="AF296" s="1638">
        <v>11</v>
      </c>
    </row>
    <row customHeight="1" ht="11.549999999999999">
      <c r="A297" s="997"/>
      <c r="B297" s="1638"/>
      <c r="D297" s="1638"/>
      <c r="K297" s="1638"/>
      <c r="N297" s="1638"/>
      <c r="O297" s="1638"/>
      <c r="P297" s="1638"/>
      <c r="Q297" s="1638"/>
      <c r="S297" s="1638"/>
      <c r="T297" s="1638"/>
      <c r="U297" s="1638"/>
      <c r="V297" s="1638"/>
      <c r="W297" s="1638"/>
      <c r="X297" s="1638"/>
      <c r="Y297" s="1638"/>
      <c r="Z297" s="1638"/>
      <c r="AA297" s="1638"/>
      <c r="AB297" s="1638"/>
      <c r="AC297" s="1638"/>
      <c r="AD297" s="1638"/>
      <c r="AE297" s="1638"/>
      <c r="AF297" s="1638">
        <v>11</v>
      </c>
    </row>
    <row customHeight="1" ht="11.549999999999999">
      <c r="A298" s="997"/>
      <c r="B298" s="1638"/>
      <c r="D298" s="1638"/>
      <c r="K298" s="1638"/>
      <c r="N298" s="1638"/>
      <c r="O298" s="1638"/>
      <c r="P298" s="1638"/>
      <c r="Q298" s="1638"/>
      <c r="S298" s="1638"/>
      <c r="T298" s="1638"/>
      <c r="U298" s="1638"/>
      <c r="V298" s="1638"/>
      <c r="W298" s="1638"/>
      <c r="X298" s="1638"/>
      <c r="Y298" s="1638"/>
      <c r="Z298" s="1638"/>
      <c r="AA298" s="1638"/>
      <c r="AB298" s="1638"/>
      <c r="AC298" s="1638"/>
      <c r="AD298" s="1638"/>
      <c r="AE298" s="1638"/>
      <c r="AF298" s="1638">
        <v>11</v>
      </c>
    </row>
    <row customHeight="1" ht="11.549999999999999">
      <c r="A299" s="997"/>
      <c r="B299" s="1638"/>
      <c r="D299" s="1638"/>
      <c r="K299" s="1638"/>
      <c r="N299" s="1638"/>
      <c r="O299" s="1638"/>
      <c r="P299" s="1638"/>
      <c r="Q299" s="1638"/>
      <c r="S299" s="1638"/>
      <c r="T299" s="1638"/>
      <c r="U299" s="1638"/>
      <c r="V299" s="1638"/>
      <c r="W299" s="1638"/>
      <c r="X299" s="1638"/>
      <c r="Y299" s="1638"/>
      <c r="Z299" s="1638"/>
      <c r="AA299" s="1638"/>
      <c r="AB299" s="1638"/>
      <c r="AC299" s="1638"/>
      <c r="AD299" s="1638"/>
      <c r="AE299" s="1638"/>
      <c r="AF299" s="1638">
        <v>11</v>
      </c>
    </row>
    <row customHeight="1" ht="11.549999999999999">
      <c r="A300" s="997"/>
      <c r="B300" s="1638"/>
      <c r="D300" s="1638"/>
      <c r="K300" s="1638"/>
      <c r="N300" s="1638"/>
      <c r="O300" s="1638"/>
      <c r="P300" s="1638"/>
      <c r="Q300" s="1638"/>
      <c r="S300" s="1638"/>
      <c r="T300" s="1638"/>
      <c r="U300" s="1638"/>
      <c r="V300" s="1638"/>
      <c r="W300" s="1638"/>
      <c r="X300" s="1638"/>
      <c r="Y300" s="1638"/>
      <c r="Z300" s="1638"/>
      <c r="AA300" s="1638"/>
      <c r="AB300" s="1638"/>
      <c r="AC300" s="1638"/>
      <c r="AD300" s="1638"/>
      <c r="AE300" s="1638"/>
      <c r="AF300" s="1638">
        <v>11</v>
      </c>
    </row>
    <row customHeight="1" ht="11.549999999999999">
      <c r="A301" s="997"/>
      <c r="B301" s="1638"/>
      <c r="D301" s="1638"/>
      <c r="K301" s="1638"/>
      <c r="N301" s="1638"/>
      <c r="O301" s="1638"/>
      <c r="P301" s="1638"/>
      <c r="Q301" s="1638"/>
      <c r="S301" s="1638"/>
      <c r="T301" s="1638"/>
      <c r="U301" s="1638"/>
      <c r="V301" s="1638"/>
      <c r="W301" s="1638"/>
      <c r="X301" s="1638"/>
      <c r="Y301" s="1638"/>
      <c r="Z301" s="1638"/>
      <c r="AA301" s="1638"/>
      <c r="AB301" s="1638"/>
      <c r="AC301" s="1638"/>
      <c r="AD301" s="1638"/>
      <c r="AE301" s="1638"/>
      <c r="AF301" s="1638">
        <v>11</v>
      </c>
    </row>
    <row customHeight="1" ht="11.549999999999999">
      <c r="A302" s="997"/>
      <c r="B302" s="1638"/>
      <c r="D302" s="1638"/>
      <c r="K302" s="1638"/>
      <c r="N302" s="1638"/>
      <c r="O302" s="1638"/>
      <c r="P302" s="1638"/>
      <c r="Q302" s="1638"/>
      <c r="S302" s="1638"/>
      <c r="T302" s="1638"/>
      <c r="U302" s="1638"/>
      <c r="V302" s="1638"/>
      <c r="W302" s="1638"/>
      <c r="X302" s="1638"/>
      <c r="Y302" s="1638"/>
      <c r="Z302" s="1638"/>
      <c r="AA302" s="1638"/>
      <c r="AB302" s="1638"/>
      <c r="AC302" s="1638"/>
      <c r="AD302" s="1638"/>
      <c r="AE302" s="1638"/>
      <c r="AF302" s="1638">
        <v>11</v>
      </c>
    </row>
    <row customHeight="1" ht="11.25" hidden="1">
      <c r="A303" s="994" t="s">
        <v>82</v>
      </c>
      <c r="B303" s="1167">
        <v>0</v>
      </c>
      <c r="C303" s="1643">
        <v>0</v>
      </c>
      <c r="D303" s="1642">
        <v>3</v>
      </c>
      <c r="E303" s="1638">
        <v>7</v>
      </c>
      <c r="F303" s="1638">
        <v>54</v>
      </c>
      <c r="G303" s="1638">
        <v>10</v>
      </c>
      <c r="H303" s="1638">
        <v>0</v>
      </c>
      <c r="I303" s="1638">
        <v>40</v>
      </c>
      <c r="J303" s="1638">
        <v>102</v>
      </c>
      <c r="K303" s="1167">
        <v>9</v>
      </c>
      <c r="L303" s="1643">
        <v>5</v>
      </c>
      <c r="M303" s="1643">
        <v>3</v>
      </c>
      <c r="N303" s="1167">
        <v>3</v>
      </c>
      <c r="O303" s="1167">
        <v>3</v>
      </c>
      <c r="P303" s="1167">
        <v>3</v>
      </c>
      <c r="Q303" s="1167">
        <v>3</v>
      </c>
      <c r="R303" s="1643">
        <v>10</v>
      </c>
      <c r="S303" s="1167">
        <v>34</v>
      </c>
      <c r="T303" s="1167">
        <v>9</v>
      </c>
      <c r="U303" s="551">
        <v>8</v>
      </c>
      <c r="V303" s="1167">
        <v>8</v>
      </c>
      <c r="W303" s="1167">
        <v>8</v>
      </c>
      <c r="X303" s="1167">
        <v>8</v>
      </c>
      <c r="Y303" s="1167">
        <v>8</v>
      </c>
      <c r="Z303" s="1167">
        <v>8</v>
      </c>
      <c r="AA303" s="1639">
        <v>8</v>
      </c>
      <c r="AB303" s="1639">
        <v>8</v>
      </c>
      <c r="AC303" s="1639">
        <v>8</v>
      </c>
      <c r="AD303" s="1639">
        <v>8</v>
      </c>
      <c r="AE303" s="1639">
        <v>8</v>
      </c>
      <c r="AF303" s="1638">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EA7B27-9D8C-4C84-0939-98DAE5B54036}"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50" width="14.7109375" hidden="1" customWidth="1"/>
    <col min="2" max="2" style="1639" width="17.00390625" hidden="1" customWidth="1"/>
    <col min="3" max="3" style="1642" width="3.00390625" customWidth="1"/>
    <col min="4" max="4" style="1642" width="1.8515625" hidden="1" customWidth="1"/>
    <col min="5" max="6" style="1642" width="7.00390625" customWidth="1"/>
    <col min="7" max="7" style="1642" width="29.00390625" customWidth="1"/>
    <col min="8" max="8" style="1642" width="3.7109375" customWidth="1"/>
    <col min="9" max="9" style="1642" width="5.00390625" customWidth="1"/>
    <col min="10" max="11" style="1642" width="24.00390625" customWidth="1"/>
    <col min="12" max="12" style="1642" width="3.00390625" customWidth="1"/>
    <col min="13" max="13" style="1642" width="6.00390625" customWidth="1"/>
    <col min="14" max="14" style="1642" width="25.00390625" customWidth="1"/>
    <col min="15" max="18" style="1642" width="18.00390625" customWidth="1"/>
    <col min="19" max="19" style="1642" width="93.00390625" customWidth="1"/>
    <col min="20" max="20" style="1642" width="10.00390625" customWidth="1"/>
    <col min="21" max="21" style="1649" width="10.00390625" customWidth="1"/>
    <col min="22" max="22" style="1649" width="11.00390625" customWidth="1"/>
    <col min="23" max="27" style="1639" width="10.00390625" customWidth="1"/>
    <col min="28" max="83" style="1642" width="8.00390625" customWidth="1"/>
    <col min="84" max="84" style="1642" width="9.140625" hidden="1"/>
  </cols>
  <sheetData>
    <row customHeight="1" ht="22.5" hidden="1">
      <c r="CF1" s="512" t="s">
        <v>14</v>
      </c>
    </row>
    <row customHeight="1" ht="11.25" hidden="1">
      <c r="CF2" s="512">
        <v>0</v>
      </c>
    </row>
    <row customHeight="1" ht="11.25" hidden="1">
      <c r="CF3" s="512">
        <v>0</v>
      </c>
    </row>
    <row customHeight="1" ht="3">
      <c r="C4" s="516"/>
      <c r="D4" s="516"/>
      <c r="E4" s="516"/>
      <c r="F4" s="516"/>
      <c r="G4" s="516"/>
      <c r="H4" s="516"/>
      <c r="I4" s="516"/>
      <c r="J4" s="516"/>
      <c r="K4" s="173"/>
      <c r="L4" s="173"/>
      <c r="M4" s="173"/>
      <c r="CF4" s="512">
        <v>3</v>
      </c>
    </row>
    <row customHeight="1" ht="29.25">
      <c r="C5" s="516"/>
      <c r="D5" s="1064"/>
      <c r="E5" s="2244"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44"/>
      <c r="G5" s="2244"/>
      <c r="H5" s="2244"/>
      <c r="I5" s="2244"/>
      <c r="J5" s="2244"/>
      <c r="K5" s="2244"/>
      <c r="L5" s="620"/>
      <c r="M5" s="620"/>
      <c r="CF5" s="512">
        <v>28</v>
      </c>
    </row>
    <row s="1642" customFormat="1" customHeight="1" ht="16.8">
      <c r="A6" s="617"/>
      <c r="B6" s="766"/>
      <c r="C6" s="516"/>
      <c r="D6" s="1065"/>
      <c r="E6" s="2183" t="str">
        <f>IF(org=0,"Не определено",org)</f>
        <v>ГУП "Белоблводоканал"</v>
      </c>
      <c r="F6" s="2183"/>
      <c r="G6" s="2183"/>
      <c r="H6" s="2183"/>
      <c r="I6" s="2183"/>
      <c r="J6" s="2183"/>
      <c r="K6" s="2183"/>
      <c r="L6" s="620"/>
      <c r="M6" s="620"/>
      <c r="U6" s="618"/>
      <c r="V6" s="618"/>
      <c r="W6" s="619"/>
      <c r="X6" s="766"/>
      <c r="Y6" s="766"/>
      <c r="Z6" s="766"/>
      <c r="AA6" s="766"/>
      <c r="CF6" s="765">
        <v>16</v>
      </c>
    </row>
    <row customHeight="1" ht="11.549999999999999">
      <c r="C7" s="516"/>
      <c r="D7" s="516"/>
      <c r="E7" s="516"/>
      <c r="F7" s="516"/>
      <c r="G7" s="529"/>
      <c r="H7" s="529"/>
      <c r="I7" s="529"/>
      <c r="J7" s="529"/>
      <c r="K7" s="621"/>
      <c r="L7" s="621"/>
      <c r="M7" s="621"/>
      <c r="R7" s="759"/>
      <c r="CF7" s="512">
        <v>11</v>
      </c>
    </row>
    <row s="1648" customFormat="1" customHeight="1" ht="4.2">
      <c r="A8" s="628"/>
      <c r="B8" s="573"/>
      <c r="C8" s="358"/>
      <c r="D8" s="358"/>
      <c r="E8" s="358"/>
      <c r="F8" s="358"/>
      <c r="G8" s="982"/>
      <c r="H8" s="982"/>
      <c r="I8" s="982"/>
      <c r="J8" s="982"/>
      <c r="K8" s="1025"/>
      <c r="L8" s="1025"/>
      <c r="M8" s="1025"/>
      <c r="R8" s="1026"/>
      <c r="U8" s="618"/>
      <c r="V8" s="618"/>
      <c r="W8" s="629"/>
      <c r="X8" s="573"/>
      <c r="Y8" s="573"/>
      <c r="Z8" s="573"/>
      <c r="AA8" s="573"/>
      <c r="CF8" s="503">
        <v>4</v>
      </c>
    </row>
    <row customHeight="1" ht="19.95">
      <c r="D9" s="296"/>
      <c r="E9" s="2108" t="s">
        <v>463</v>
      </c>
      <c r="F9" s="2109"/>
      <c r="G9" s="2109"/>
      <c r="H9" s="2109"/>
      <c r="I9" s="2109"/>
      <c r="J9" s="2109"/>
      <c r="K9" s="2109"/>
      <c r="L9" s="2109"/>
      <c r="M9" s="2109"/>
      <c r="N9" s="2109"/>
      <c r="O9" s="2109"/>
      <c r="P9" s="2109"/>
      <c r="Q9" s="2109"/>
      <c r="R9" s="2110"/>
      <c r="S9" s="2134" t="s">
        <v>464</v>
      </c>
      <c r="T9" s="341"/>
      <c r="CF9" s="512">
        <v>19</v>
      </c>
    </row>
    <row customHeight="1" ht="48.29999999999999">
      <c r="D10" s="558" t="s">
        <v>88</v>
      </c>
      <c r="E10" s="2134" t="s">
        <v>88</v>
      </c>
      <c r="F10" s="2134"/>
      <c r="G10" s="528" t="s">
        <v>465</v>
      </c>
      <c r="H10" s="2134" t="s">
        <v>88</v>
      </c>
      <c r="I10" s="2134"/>
      <c r="J10" s="528" t="s">
        <v>764</v>
      </c>
      <c r="K10" s="528" t="s">
        <v>765</v>
      </c>
      <c r="L10" s="2134" t="s">
        <v>88</v>
      </c>
      <c r="M10" s="2134"/>
      <c r="N10" s="528" t="s">
        <v>766</v>
      </c>
      <c r="O10" s="528" t="s">
        <v>767</v>
      </c>
      <c r="P10" s="528" t="s">
        <v>768</v>
      </c>
      <c r="Q10" s="528" t="s">
        <v>769</v>
      </c>
      <c r="R10" s="528" t="s">
        <v>770</v>
      </c>
      <c r="S10" s="2134"/>
      <c r="T10" s="341"/>
      <c r="CF10" s="512">
        <v>46</v>
      </c>
    </row>
    <row s="1649" customFormat="1" customHeight="1" ht="15" hidden="1">
      <c r="A11" s="1059"/>
      <c r="D11" s="1032" t="s">
        <v>108</v>
      </c>
      <c r="E11" s="1032"/>
      <c r="F11" s="1032" t="s">
        <v>99</v>
      </c>
      <c r="G11" s="1032" t="s">
        <v>90</v>
      </c>
      <c r="H11" s="1032"/>
      <c r="I11" s="1032" t="s">
        <v>91</v>
      </c>
      <c r="J11" s="1032" t="s">
        <v>119</v>
      </c>
      <c r="K11" s="1032" t="s">
        <v>92</v>
      </c>
      <c r="L11" s="1032"/>
      <c r="M11" s="1032" t="s">
        <v>93</v>
      </c>
      <c r="N11" s="1032" t="s">
        <v>132</v>
      </c>
      <c r="O11" s="1032" t="s">
        <v>137</v>
      </c>
      <c r="P11" s="1032" t="s">
        <v>142</v>
      </c>
      <c r="Q11" s="1032" t="s">
        <v>147</v>
      </c>
      <c r="R11" s="1032" t="s">
        <v>152</v>
      </c>
      <c r="S11" s="1032" t="s">
        <v>157</v>
      </c>
      <c r="U11" s="618"/>
      <c r="V11" s="618"/>
      <c r="W11" s="618"/>
      <c r="CF11" s="518">
        <v>0</v>
      </c>
    </row>
    <row s="1642" customFormat="1" customHeight="1" ht="1.05">
      <c r="A12" s="622"/>
      <c r="B12" s="369"/>
      <c r="D12" s="555"/>
      <c r="E12" s="353"/>
      <c r="F12" s="353"/>
      <c r="Q12" s="623"/>
      <c r="R12" s="624"/>
      <c r="T12" s="625"/>
      <c r="U12" s="626"/>
      <c r="V12" s="626"/>
      <c r="W12" s="627"/>
      <c r="X12" s="369"/>
      <c r="Y12" s="369"/>
      <c r="Z12" s="369"/>
      <c r="AA12" s="369"/>
      <c r="CF12" s="516">
        <v>1</v>
      </c>
    </row>
    <row s="1648" customFormat="1" customHeight="1" ht="1.05">
      <c r="A13" s="628"/>
      <c r="B13" s="573"/>
      <c r="D13" s="555" t="s">
        <v>539</v>
      </c>
      <c r="E13" s="567"/>
      <c r="F13" s="567"/>
      <c r="G13" s="567"/>
      <c r="H13" s="567"/>
      <c r="I13" s="567"/>
      <c r="J13" s="567"/>
      <c r="K13" s="567"/>
      <c r="L13" s="567"/>
      <c r="M13" s="567"/>
      <c r="N13" s="567"/>
      <c r="O13" s="567"/>
      <c r="P13" s="567"/>
      <c r="Q13" s="567"/>
      <c r="R13" s="567"/>
      <c r="T13" s="341"/>
      <c r="U13" s="618"/>
      <c r="V13" s="618"/>
      <c r="W13" s="629"/>
      <c r="X13" s="573"/>
      <c r="Y13" s="573"/>
      <c r="Z13" s="573"/>
      <c r="AA13" s="573"/>
      <c r="CF13" s="503">
        <v>1</v>
      </c>
    </row>
    <row s="1857" customFormat="1" customHeight="1" ht="15" hidden="1">
      <c r="A14" s="630" t="s">
        <v>209</v>
      </c>
      <c r="B14" s="631"/>
      <c r="C14" s="631"/>
      <c r="D14" s="2387" t="s">
        <v>108</v>
      </c>
      <c r="E14" s="2384" t="s">
        <v>201</v>
      </c>
      <c r="F14" s="2385"/>
      <c r="G14" s="2386"/>
      <c r="H14" s="2390">
        <f>IF(A14="","",INDEX(DIFFERENTIATION_UNMERGE_VD,MATCH(A14,DIFFERENTIATION_ID_DIFF,0)))</f>
        <v>0</v>
      </c>
      <c r="I14" s="2390"/>
      <c r="J14" s="2390"/>
      <c r="K14" s="2390"/>
      <c r="L14" s="2390"/>
      <c r="M14" s="2390"/>
      <c r="N14" s="2390"/>
      <c r="O14" s="2390"/>
      <c r="P14" s="2390"/>
      <c r="Q14" s="2390"/>
      <c r="R14" s="2390"/>
      <c r="S14" s="726"/>
      <c r="T14" s="723"/>
      <c r="U14" s="632"/>
      <c r="V14" s="632"/>
      <c r="W14" s="633"/>
      <c r="X14" s="633"/>
      <c r="Y14" s="633"/>
      <c r="Z14" s="633"/>
      <c r="AA14" s="634"/>
      <c r="AB14" s="635"/>
      <c r="AC14" s="2382"/>
      <c r="AD14" s="636"/>
      <c r="AE14" s="637" t="s">
        <v>28</v>
      </c>
      <c r="AF14" s="637"/>
      <c r="AG14" s="638" t="s">
        <v>771</v>
      </c>
      <c r="AH14" s="639">
        <v>3</v>
      </c>
      <c r="AI14" s="632"/>
      <c r="AJ14" s="632"/>
      <c r="AK14" s="632"/>
      <c r="AL14" s="632"/>
      <c r="AM14" s="632"/>
      <c r="AN14" s="632"/>
      <c r="AO14" s="632"/>
      <c r="AP14" s="632"/>
      <c r="AQ14" s="632"/>
      <c r="AR14" s="632"/>
      <c r="AS14" s="632"/>
      <c r="AT14" s="632"/>
      <c r="AU14" s="632"/>
      <c r="AV14" s="632"/>
      <c r="AW14" s="632"/>
      <c r="AX14" s="632"/>
      <c r="AY14" s="632"/>
      <c r="AZ14" s="632"/>
      <c r="BA14" s="632"/>
      <c r="BB14" s="632"/>
      <c r="BC14" s="632"/>
      <c r="BD14" s="632"/>
      <c r="BE14" s="632"/>
      <c r="BF14" s="632"/>
      <c r="BG14" s="632"/>
      <c r="BH14" s="632"/>
      <c r="BI14" s="632"/>
      <c r="BJ14" s="632"/>
      <c r="BK14" s="632"/>
      <c r="BL14" s="632"/>
      <c r="BM14" s="632"/>
      <c r="BN14" s="632"/>
      <c r="BO14" s="632"/>
      <c r="BP14" s="632"/>
      <c r="BQ14" s="632"/>
      <c r="BR14" s="632"/>
      <c r="BS14" s="632"/>
      <c r="BT14" s="632"/>
      <c r="BU14" s="632"/>
      <c r="BV14" s="633"/>
      <c r="BW14" s="633"/>
      <c r="BX14" s="633"/>
      <c r="BY14" s="633"/>
      <c r="BZ14" s="633"/>
      <c r="CA14" s="633"/>
      <c r="CB14" s="633"/>
      <c r="CC14" s="633"/>
      <c r="CD14" s="633"/>
      <c r="CE14" s="633"/>
      <c r="CF14" s="300">
        <v>0</v>
      </c>
    </row>
    <row s="1857" customFormat="1" customHeight="1" ht="15" hidden="1">
      <c r="A15" s="630"/>
      <c r="B15" s="631"/>
      <c r="C15" s="631"/>
      <c r="D15" s="2388"/>
      <c r="E15" s="2384" t="s">
        <v>726</v>
      </c>
      <c r="F15" s="2385"/>
      <c r="G15" s="2386"/>
      <c r="H15" s="2390" t="str">
        <f>IF(A14="","",INDEX(DIFFERENTIATION_UNMERGE_AREA,MATCH(A14,DIFFERENTIATION_ID_DIFF,0)))</f>
        <v/>
      </c>
      <c r="I15" s="2390"/>
      <c r="J15" s="2390"/>
      <c r="K15" s="2390"/>
      <c r="L15" s="2390"/>
      <c r="M15" s="2390"/>
      <c r="N15" s="2390"/>
      <c r="O15" s="2390"/>
      <c r="P15" s="2390"/>
      <c r="Q15" s="2390"/>
      <c r="R15" s="2390"/>
      <c r="S15" s="726"/>
      <c r="T15" s="723"/>
      <c r="U15" s="632"/>
      <c r="V15" s="632"/>
      <c r="W15" s="633"/>
      <c r="X15" s="633"/>
      <c r="Y15" s="633"/>
      <c r="Z15" s="633"/>
      <c r="AA15" s="634"/>
      <c r="AB15" s="635"/>
      <c r="AC15" s="2382"/>
      <c r="AD15" s="636"/>
      <c r="AE15" s="637"/>
      <c r="AF15" s="637"/>
      <c r="AG15" s="638"/>
      <c r="AH15" s="639"/>
      <c r="AI15" s="632"/>
      <c r="AJ15" s="632"/>
      <c r="AK15" s="632"/>
      <c r="AL15" s="632"/>
      <c r="AM15" s="632"/>
      <c r="AN15" s="632"/>
      <c r="AO15" s="632"/>
      <c r="AP15" s="632"/>
      <c r="AQ15" s="632"/>
      <c r="AR15" s="632"/>
      <c r="AS15" s="632"/>
      <c r="AT15" s="632"/>
      <c r="AU15" s="632"/>
      <c r="AV15" s="632"/>
      <c r="AW15" s="632"/>
      <c r="AX15" s="632"/>
      <c r="AY15" s="632"/>
      <c r="AZ15" s="632"/>
      <c r="BA15" s="632"/>
      <c r="BB15" s="632"/>
      <c r="BC15" s="632"/>
      <c r="BD15" s="632"/>
      <c r="BE15" s="632"/>
      <c r="BF15" s="632"/>
      <c r="BG15" s="632"/>
      <c r="BH15" s="632"/>
      <c r="BI15" s="632"/>
      <c r="BJ15" s="632"/>
      <c r="BK15" s="632"/>
      <c r="BL15" s="632"/>
      <c r="BM15" s="632"/>
      <c r="BN15" s="632"/>
      <c r="BO15" s="632"/>
      <c r="BP15" s="632"/>
      <c r="BQ15" s="632"/>
      <c r="BR15" s="632"/>
      <c r="BS15" s="632"/>
      <c r="BT15" s="632"/>
      <c r="BU15" s="632"/>
      <c r="BV15" s="633"/>
      <c r="BW15" s="633"/>
      <c r="BX15" s="633"/>
      <c r="BY15" s="633"/>
      <c r="BZ15" s="633"/>
      <c r="CA15" s="633"/>
      <c r="CB15" s="633"/>
      <c r="CC15" s="633"/>
      <c r="CD15" s="633"/>
      <c r="CE15" s="633"/>
      <c r="CF15" s="300">
        <v>0</v>
      </c>
    </row>
    <row s="1857" customFormat="1" customHeight="1" ht="15" hidden="1">
      <c r="A16" s="630"/>
      <c r="B16" s="631"/>
      <c r="C16" s="631"/>
      <c r="D16" s="2388"/>
      <c r="E16" s="2384" t="s">
        <v>727</v>
      </c>
      <c r="F16" s="2385"/>
      <c r="G16" s="2386"/>
      <c r="H16" s="2390" t="str">
        <f>IF(A14="","",INDEX(DIFFERENTIATION_UNMERGE_SYSTEM,MATCH(A14,DIFFERENTIATION_ID_DIFF,0)))</f>
        <v>без дифференциации</v>
      </c>
      <c r="I16" s="2390"/>
      <c r="J16" s="2390"/>
      <c r="K16" s="2390"/>
      <c r="L16" s="2390"/>
      <c r="M16" s="2390"/>
      <c r="N16" s="2390"/>
      <c r="O16" s="2390"/>
      <c r="P16" s="2390"/>
      <c r="Q16" s="2390"/>
      <c r="R16" s="2390"/>
      <c r="S16" s="726"/>
      <c r="T16" s="723"/>
      <c r="U16" s="632"/>
      <c r="V16" s="632"/>
      <c r="W16" s="633"/>
      <c r="X16" s="633"/>
      <c r="Y16" s="633"/>
      <c r="Z16" s="633"/>
      <c r="AA16" s="634"/>
      <c r="AB16" s="635"/>
      <c r="AC16" s="2382"/>
      <c r="AD16" s="636"/>
      <c r="AE16" s="637"/>
      <c r="AF16" s="637"/>
      <c r="AG16" s="638"/>
      <c r="AH16" s="639"/>
      <c r="AI16" s="632"/>
      <c r="AJ16" s="632"/>
      <c r="AK16" s="632"/>
      <c r="AL16" s="632"/>
      <c r="AM16" s="632"/>
      <c r="AN16" s="632"/>
      <c r="AO16" s="632"/>
      <c r="AP16" s="632"/>
      <c r="AQ16" s="632"/>
      <c r="AR16" s="632"/>
      <c r="AS16" s="632"/>
      <c r="AT16" s="632"/>
      <c r="AU16" s="632"/>
      <c r="AV16" s="632"/>
      <c r="AW16" s="632"/>
      <c r="AX16" s="632"/>
      <c r="AY16" s="632"/>
      <c r="AZ16" s="632"/>
      <c r="BA16" s="632"/>
      <c r="BB16" s="632"/>
      <c r="BC16" s="632"/>
      <c r="BD16" s="632"/>
      <c r="BE16" s="632"/>
      <c r="BF16" s="632"/>
      <c r="BG16" s="632"/>
      <c r="BH16" s="632"/>
      <c r="BI16" s="632"/>
      <c r="BJ16" s="632"/>
      <c r="BK16" s="632"/>
      <c r="BL16" s="632"/>
      <c r="BM16" s="632"/>
      <c r="BN16" s="632"/>
      <c r="BO16" s="632"/>
      <c r="BP16" s="632"/>
      <c r="BQ16" s="632"/>
      <c r="BR16" s="632"/>
      <c r="BS16" s="632"/>
      <c r="BT16" s="632"/>
      <c r="BU16" s="632"/>
      <c r="BV16" s="633"/>
      <c r="BW16" s="633"/>
      <c r="BX16" s="633"/>
      <c r="BY16" s="633"/>
      <c r="BZ16" s="633"/>
      <c r="CA16" s="633"/>
      <c r="CB16" s="633"/>
      <c r="CC16" s="633"/>
      <c r="CD16" s="633"/>
      <c r="CE16" s="633"/>
      <c r="CF16" s="300">
        <v>0</v>
      </c>
    </row>
    <row s="1857" customFormat="1" customHeight="1" ht="22.5" hidden="1">
      <c r="A17" s="640"/>
      <c r="B17" s="424"/>
      <c r="C17" s="419"/>
      <c r="D17" s="2388"/>
      <c r="E17" s="2383" t="s">
        <v>772</v>
      </c>
      <c r="F17" s="2383"/>
      <c r="G17" s="2383"/>
      <c r="H17" s="2383"/>
      <c r="I17" s="2383"/>
      <c r="J17" s="2383"/>
      <c r="K17" s="2383"/>
      <c r="L17" s="2383"/>
      <c r="M17" s="2383"/>
      <c r="N17" s="2383"/>
      <c r="O17" s="2383"/>
      <c r="P17" s="2383"/>
      <c r="Q17" s="565">
        <f>SUMIF(T18:T19,"i",Q18:Q19)</f>
        <v>0</v>
      </c>
      <c r="R17" s="1024"/>
      <c r="S17" s="904" t="s">
        <v>773</v>
      </c>
      <c r="T17" s="724" t="s">
        <v>774</v>
      </c>
      <c r="U17" s="2381">
        <v>1</v>
      </c>
      <c r="V17" s="2381" t="str">
        <f>INDEX(B_FHD_FLAG_INDEX_1,1,MATCH(A14,B_FHD_FLAG_DIFFERENTIATION,0))</f>
        <v>отсутствует</v>
      </c>
      <c r="W17" s="424"/>
      <c r="X17" s="424"/>
      <c r="Y17" s="424"/>
      <c r="Z17" s="424"/>
      <c r="AA17" s="518"/>
      <c r="AB17" s="424"/>
      <c r="AC17" s="2382"/>
      <c r="AD17" s="636"/>
      <c r="AE17" s="424"/>
      <c r="AF17" s="424"/>
      <c r="AG17" s="518"/>
      <c r="AH17" s="518"/>
      <c r="AI17" s="518"/>
      <c r="AJ17" s="518"/>
      <c r="AK17" s="518"/>
      <c r="AL17" s="518"/>
      <c r="AM17" s="518"/>
      <c r="AN17" s="518"/>
      <c r="AO17" s="518"/>
      <c r="AP17" s="518"/>
      <c r="AQ17" s="518"/>
      <c r="AR17" s="518"/>
      <c r="AS17" s="518"/>
      <c r="AT17" s="518"/>
      <c r="AU17" s="518"/>
      <c r="AV17" s="518"/>
      <c r="AW17" s="518"/>
      <c r="AX17" s="518"/>
      <c r="AY17" s="518"/>
      <c r="AZ17" s="518"/>
      <c r="BA17" s="518"/>
      <c r="BB17" s="518"/>
      <c r="BC17" s="518"/>
      <c r="BD17" s="518"/>
      <c r="BE17" s="518"/>
      <c r="BF17" s="518"/>
      <c r="BG17" s="518"/>
      <c r="BH17" s="518"/>
      <c r="BI17" s="518"/>
      <c r="BJ17" s="518"/>
      <c r="BK17" s="518"/>
      <c r="BL17" s="518"/>
      <c r="BM17" s="518"/>
      <c r="BN17" s="518"/>
      <c r="BO17" s="518"/>
      <c r="BP17" s="518"/>
      <c r="BQ17" s="518"/>
      <c r="BR17" s="518"/>
      <c r="BS17" s="518"/>
      <c r="BT17" s="518"/>
      <c r="BU17" s="518"/>
      <c r="BV17" s="424"/>
      <c r="BW17" s="424"/>
      <c r="BX17" s="424"/>
      <c r="BY17" s="424"/>
      <c r="BZ17" s="424"/>
      <c r="CA17" s="424"/>
      <c r="CB17" s="424"/>
      <c r="CC17" s="424"/>
      <c r="CD17" s="424"/>
      <c r="CE17" s="424"/>
      <c r="CF17" s="300">
        <v>0</v>
      </c>
    </row>
    <row s="1857" customFormat="1" customHeight="1" ht="11.25" hidden="1">
      <c r="A18" s="641"/>
      <c r="B18" s="518"/>
      <c r="C18" s="518"/>
      <c r="D18" s="2388"/>
      <c r="E18" s="642"/>
      <c r="F18" s="642">
        <v>0</v>
      </c>
      <c r="G18" s="642"/>
      <c r="H18" s="642"/>
      <c r="I18" s="642"/>
      <c r="J18" s="642"/>
      <c r="K18" s="642"/>
      <c r="L18" s="642"/>
      <c r="M18" s="642"/>
      <c r="N18" s="642"/>
      <c r="O18" s="642"/>
      <c r="P18" s="642"/>
      <c r="Q18" s="642"/>
      <c r="R18" s="642"/>
      <c r="S18" s="643"/>
      <c r="T18" s="725"/>
      <c r="U18" s="2381"/>
      <c r="V18" s="2381"/>
      <c r="W18" s="518"/>
      <c r="X18" s="518"/>
      <c r="Y18" s="518"/>
      <c r="Z18" s="518"/>
      <c r="AA18" s="518"/>
      <c r="AB18" s="424"/>
      <c r="AC18" s="2382"/>
      <c r="AD18" s="636"/>
      <c r="AE18" s="424"/>
      <c r="AF18" s="424"/>
      <c r="AG18" s="518"/>
      <c r="AH18" s="518"/>
      <c r="AI18" s="518"/>
      <c r="AJ18" s="518"/>
      <c r="AK18" s="518"/>
      <c r="AL18" s="518"/>
      <c r="AM18" s="518"/>
      <c r="AN18" s="518"/>
      <c r="AO18" s="518"/>
      <c r="AP18" s="518"/>
      <c r="AQ18" s="518"/>
      <c r="AR18" s="518"/>
      <c r="AS18" s="518"/>
      <c r="AT18" s="518"/>
      <c r="AU18" s="518"/>
      <c r="AV18" s="518"/>
      <c r="AW18" s="518"/>
      <c r="AX18" s="518"/>
      <c r="AY18" s="518"/>
      <c r="AZ18" s="518"/>
      <c r="BA18" s="518"/>
      <c r="BB18" s="518"/>
      <c r="BC18" s="518"/>
      <c r="BD18" s="518"/>
      <c r="BE18" s="518"/>
      <c r="BF18" s="518"/>
      <c r="BG18" s="518"/>
      <c r="BH18" s="518"/>
      <c r="BI18" s="518"/>
      <c r="BJ18" s="518"/>
      <c r="BK18" s="518"/>
      <c r="BL18" s="518"/>
      <c r="BM18" s="518"/>
      <c r="BN18" s="518"/>
      <c r="BO18" s="518"/>
      <c r="BP18" s="518"/>
      <c r="BQ18" s="518"/>
      <c r="BR18" s="518"/>
      <c r="BS18" s="518"/>
      <c r="BT18" s="518"/>
      <c r="BU18" s="518"/>
      <c r="BV18" s="518"/>
      <c r="BW18" s="518"/>
      <c r="BX18" s="518"/>
      <c r="BY18" s="518"/>
      <c r="BZ18" s="518"/>
      <c r="CA18" s="518"/>
      <c r="CB18" s="518"/>
      <c r="CC18" s="518"/>
      <c r="CD18" s="518"/>
      <c r="CE18" s="518"/>
      <c r="CF18" s="300">
        <v>0</v>
      </c>
    </row>
    <row s="1857" customFormat="1" customHeight="1" ht="11.25" hidden="1">
      <c r="A19" s="640"/>
      <c r="B19" s="424"/>
      <c r="C19" s="419"/>
      <c r="D19" s="2388"/>
      <c r="E19" s="656" t="s">
        <v>28</v>
      </c>
      <c r="F19" s="657" t="s">
        <v>28</v>
      </c>
      <c r="G19" s="657" t="s">
        <v>28</v>
      </c>
      <c r="H19" s="658" t="s">
        <v>28</v>
      </c>
      <c r="I19" s="658"/>
      <c r="J19" s="658"/>
      <c r="K19" s="658"/>
      <c r="L19" s="658"/>
      <c r="M19" s="658"/>
      <c r="N19" s="658"/>
      <c r="O19" s="658"/>
      <c r="P19" s="658"/>
      <c r="Q19" s="658"/>
      <c r="R19" s="659"/>
      <c r="S19" s="1027"/>
      <c r="T19" s="725"/>
      <c r="U19" s="2381"/>
      <c r="V19" s="2381"/>
      <c r="W19" s="424"/>
      <c r="X19" s="424"/>
      <c r="Y19" s="424"/>
      <c r="Z19" s="424"/>
      <c r="AA19" s="518"/>
      <c r="AB19" s="424"/>
      <c r="AC19" s="2382"/>
      <c r="AD19" s="636"/>
      <c r="AE19" s="424"/>
      <c r="AF19" s="424"/>
      <c r="AG19" s="518"/>
      <c r="AH19" s="518"/>
      <c r="AI19" s="518"/>
      <c r="AJ19" s="518"/>
      <c r="AK19" s="518"/>
      <c r="AL19" s="518"/>
      <c r="AM19" s="518"/>
      <c r="AN19" s="518"/>
      <c r="AO19" s="518"/>
      <c r="AP19" s="518"/>
      <c r="AQ19" s="518"/>
      <c r="AR19" s="518"/>
      <c r="AS19" s="518"/>
      <c r="AT19" s="518"/>
      <c r="AU19" s="518"/>
      <c r="AV19" s="518"/>
      <c r="AW19" s="518"/>
      <c r="AX19" s="518"/>
      <c r="AY19" s="518"/>
      <c r="AZ19" s="518"/>
      <c r="BA19" s="518"/>
      <c r="BB19" s="518"/>
      <c r="BC19" s="518"/>
      <c r="BD19" s="518"/>
      <c r="BE19" s="518"/>
      <c r="BF19" s="518"/>
      <c r="BG19" s="518"/>
      <c r="BH19" s="518"/>
      <c r="BI19" s="518"/>
      <c r="BJ19" s="518"/>
      <c r="BK19" s="518"/>
      <c r="BL19" s="518"/>
      <c r="BM19" s="518"/>
      <c r="BN19" s="518"/>
      <c r="BO19" s="518"/>
      <c r="BP19" s="518"/>
      <c r="BQ19" s="518"/>
      <c r="BR19" s="518"/>
      <c r="BS19" s="518"/>
      <c r="BT19" s="518"/>
      <c r="BU19" s="518"/>
      <c r="BV19" s="424"/>
      <c r="BW19" s="424"/>
      <c r="BX19" s="424"/>
      <c r="BY19" s="424"/>
      <c r="BZ19" s="424"/>
      <c r="CA19" s="424"/>
      <c r="CB19" s="424"/>
      <c r="CC19" s="424"/>
      <c r="CD19" s="424"/>
      <c r="CE19" s="424"/>
      <c r="CF19" s="300">
        <v>0</v>
      </c>
    </row>
    <row s="1857" customFormat="1" customHeight="1" ht="22.5" hidden="1">
      <c r="A20" s="640"/>
      <c r="B20" s="424"/>
      <c r="C20" s="419"/>
      <c r="D20" s="2388"/>
      <c r="E20" s="2383" t="s">
        <v>775</v>
      </c>
      <c r="F20" s="2383"/>
      <c r="G20" s="2383"/>
      <c r="H20" s="2383"/>
      <c r="I20" s="2383"/>
      <c r="J20" s="2383"/>
      <c r="K20" s="2383"/>
      <c r="L20" s="2383"/>
      <c r="M20" s="2383"/>
      <c r="N20" s="2383"/>
      <c r="O20" s="2383"/>
      <c r="P20" s="2383"/>
      <c r="Q20" s="565">
        <f>SUMIF(T21:T22,"i",Q21:Q22)</f>
        <v>0</v>
      </c>
      <c r="R20" s="1024"/>
      <c r="S20" s="716" t="s">
        <v>776</v>
      </c>
      <c r="T20" s="724" t="s">
        <v>774</v>
      </c>
      <c r="U20" s="2381">
        <v>2</v>
      </c>
      <c r="V20" s="2381" t="str">
        <f>INDEX(B_FHD_FLAG_INDEX_2,1,MATCH(A14,B_FHD_FLAG_DIFFERENTIATION,0))</f>
        <v>отсутствует</v>
      </c>
      <c r="W20" s="424"/>
      <c r="X20" s="424"/>
      <c r="Y20" s="424"/>
      <c r="Z20" s="424"/>
      <c r="AA20" s="518"/>
      <c r="AB20" s="424"/>
      <c r="AC20" s="713"/>
      <c r="AD20" s="636"/>
      <c r="AE20" s="424"/>
      <c r="AF20" s="424"/>
      <c r="AG20" s="518"/>
      <c r="AH20" s="518"/>
      <c r="AI20" s="518"/>
      <c r="AJ20" s="518"/>
      <c r="AK20" s="518"/>
      <c r="AL20" s="518"/>
      <c r="AM20" s="518"/>
      <c r="AN20" s="518"/>
      <c r="AO20" s="518"/>
      <c r="AP20" s="518"/>
      <c r="AQ20" s="518"/>
      <c r="AR20" s="518"/>
      <c r="AS20" s="518"/>
      <c r="AT20" s="518"/>
      <c r="AU20" s="518"/>
      <c r="AV20" s="518"/>
      <c r="AW20" s="518"/>
      <c r="AX20" s="518"/>
      <c r="AY20" s="518"/>
      <c r="AZ20" s="518"/>
      <c r="BA20" s="518"/>
      <c r="BB20" s="518"/>
      <c r="BC20" s="518"/>
      <c r="BD20" s="518"/>
      <c r="BE20" s="518"/>
      <c r="BF20" s="518"/>
      <c r="BG20" s="518"/>
      <c r="BH20" s="518"/>
      <c r="BI20" s="518"/>
      <c r="BJ20" s="518"/>
      <c r="BK20" s="518"/>
      <c r="BL20" s="518"/>
      <c r="BM20" s="518"/>
      <c r="BN20" s="518"/>
      <c r="BO20" s="518"/>
      <c r="BP20" s="518"/>
      <c r="BQ20" s="518"/>
      <c r="BR20" s="518"/>
      <c r="BS20" s="518"/>
      <c r="BT20" s="518"/>
      <c r="BU20" s="518"/>
      <c r="BV20" s="424"/>
      <c r="BW20" s="424"/>
      <c r="BX20" s="424"/>
      <c r="BY20" s="424"/>
      <c r="BZ20" s="424"/>
      <c r="CA20" s="424"/>
      <c r="CB20" s="424"/>
      <c r="CC20" s="424"/>
      <c r="CD20" s="424"/>
      <c r="CE20" s="424"/>
      <c r="CF20" s="300">
        <v>0</v>
      </c>
    </row>
    <row s="1857" customFormat="1" customHeight="1" ht="11.25" hidden="1">
      <c r="A21" s="715"/>
      <c r="B21" s="518"/>
      <c r="C21" s="518"/>
      <c r="D21" s="2388"/>
      <c r="E21" s="642"/>
      <c r="F21" s="642">
        <v>0</v>
      </c>
      <c r="G21" s="642"/>
      <c r="H21" s="642"/>
      <c r="I21" s="642"/>
      <c r="J21" s="642"/>
      <c r="K21" s="642"/>
      <c r="L21" s="642"/>
      <c r="M21" s="642"/>
      <c r="N21" s="642"/>
      <c r="O21" s="642"/>
      <c r="P21" s="642"/>
      <c r="Q21" s="642"/>
      <c r="R21" s="642"/>
      <c r="S21" s="643"/>
      <c r="T21" s="725"/>
      <c r="U21" s="2381"/>
      <c r="V21" s="2381"/>
      <c r="W21" s="518"/>
      <c r="X21" s="518"/>
      <c r="Y21" s="518"/>
      <c r="Z21" s="518"/>
      <c r="AA21" s="518"/>
      <c r="AB21" s="424"/>
      <c r="AC21" s="713"/>
      <c r="AD21" s="636"/>
      <c r="AE21" s="424"/>
      <c r="AF21" s="424"/>
      <c r="AG21" s="518"/>
      <c r="AH21" s="518"/>
      <c r="AI21" s="518"/>
      <c r="AJ21" s="518"/>
      <c r="AK21" s="518"/>
      <c r="AL21" s="518"/>
      <c r="AM21" s="518"/>
      <c r="AN21" s="518"/>
      <c r="AO21" s="518"/>
      <c r="AP21" s="518"/>
      <c r="AQ21" s="518"/>
      <c r="AR21" s="518"/>
      <c r="AS21" s="518"/>
      <c r="AT21" s="518"/>
      <c r="AU21" s="518"/>
      <c r="AV21" s="518"/>
      <c r="AW21" s="518"/>
      <c r="AX21" s="518"/>
      <c r="AY21" s="518"/>
      <c r="AZ21" s="518"/>
      <c r="BA21" s="518"/>
      <c r="BB21" s="518"/>
      <c r="BC21" s="518"/>
      <c r="BD21" s="518"/>
      <c r="BE21" s="518"/>
      <c r="BF21" s="518"/>
      <c r="BG21" s="518"/>
      <c r="BH21" s="518"/>
      <c r="BI21" s="518"/>
      <c r="BJ21" s="518"/>
      <c r="BK21" s="518"/>
      <c r="BL21" s="518"/>
      <c r="BM21" s="518"/>
      <c r="BN21" s="518"/>
      <c r="BO21" s="518"/>
      <c r="BP21" s="518"/>
      <c r="BQ21" s="518"/>
      <c r="BR21" s="518"/>
      <c r="BS21" s="518"/>
      <c r="BT21" s="518"/>
      <c r="BU21" s="518"/>
      <c r="BV21" s="518"/>
      <c r="BW21" s="518"/>
      <c r="BX21" s="518"/>
      <c r="BY21" s="518"/>
      <c r="BZ21" s="518"/>
      <c r="CA21" s="518"/>
      <c r="CB21" s="518"/>
      <c r="CC21" s="518"/>
      <c r="CD21" s="518"/>
      <c r="CE21" s="518"/>
      <c r="CF21" s="300">
        <v>0</v>
      </c>
    </row>
    <row s="1857" customFormat="1" customHeight="1" ht="11.25" hidden="1">
      <c r="A22" s="640"/>
      <c r="B22" s="424"/>
      <c r="C22" s="419"/>
      <c r="D22" s="2389"/>
      <c r="E22" s="656" t="s">
        <v>28</v>
      </c>
      <c r="F22" s="657" t="s">
        <v>28</v>
      </c>
      <c r="G22" s="657" t="s">
        <v>28</v>
      </c>
      <c r="H22" s="658" t="s">
        <v>28</v>
      </c>
      <c r="I22" s="658"/>
      <c r="J22" s="658"/>
      <c r="K22" s="658"/>
      <c r="L22" s="658"/>
      <c r="M22" s="658"/>
      <c r="N22" s="658"/>
      <c r="O22" s="658"/>
      <c r="P22" s="658"/>
      <c r="Q22" s="658"/>
      <c r="R22" s="659"/>
      <c r="S22" s="1027"/>
      <c r="T22" s="725"/>
      <c r="U22" s="2381"/>
      <c r="V22" s="2381"/>
      <c r="W22" s="424"/>
      <c r="X22" s="424"/>
      <c r="Y22" s="424"/>
      <c r="Z22" s="424"/>
      <c r="AA22" s="518"/>
      <c r="AB22" s="424"/>
      <c r="AC22" s="713"/>
      <c r="AD22" s="636"/>
      <c r="AE22" s="424"/>
      <c r="AF22" s="424"/>
      <c r="AG22" s="518"/>
      <c r="AH22" s="518"/>
      <c r="AI22" s="518"/>
      <c r="AJ22" s="518"/>
      <c r="AK22" s="518"/>
      <c r="AL22" s="518"/>
      <c r="AM22" s="518"/>
      <c r="AN22" s="518"/>
      <c r="AO22" s="518"/>
      <c r="AP22" s="518"/>
      <c r="AQ22" s="518"/>
      <c r="AR22" s="518"/>
      <c r="AS22" s="518"/>
      <c r="AT22" s="518"/>
      <c r="AU22" s="518"/>
      <c r="AV22" s="518"/>
      <c r="AW22" s="518"/>
      <c r="AX22" s="518"/>
      <c r="AY22" s="518"/>
      <c r="AZ22" s="518"/>
      <c r="BA22" s="518"/>
      <c r="BB22" s="518"/>
      <c r="BC22" s="518"/>
      <c r="BD22" s="518"/>
      <c r="BE22" s="518"/>
      <c r="BF22" s="518"/>
      <c r="BG22" s="518"/>
      <c r="BH22" s="518"/>
      <c r="BI22" s="518"/>
      <c r="BJ22" s="518"/>
      <c r="BK22" s="518"/>
      <c r="BL22" s="518"/>
      <c r="BM22" s="518"/>
      <c r="BN22" s="518"/>
      <c r="BO22" s="518"/>
      <c r="BP22" s="518"/>
      <c r="BQ22" s="518"/>
      <c r="BR22" s="518"/>
      <c r="BS22" s="518"/>
      <c r="BT22" s="518"/>
      <c r="BU22" s="518"/>
      <c r="BV22" s="424"/>
      <c r="BW22" s="424"/>
      <c r="BX22" s="424"/>
      <c r="BY22" s="424"/>
      <c r="BZ22" s="424"/>
      <c r="CA22" s="424"/>
      <c r="CB22" s="424"/>
      <c r="CC22" s="424"/>
      <c r="CD22" s="424"/>
      <c r="CE22" s="424"/>
      <c r="CF22" s="300">
        <v>0</v>
      </c>
    </row>
    <row customHeight="1" ht="19.95">
      <c r="D23" s="1054"/>
      <c r="E23" s="1054"/>
      <c r="F23" s="1054"/>
      <c r="G23" s="1054"/>
      <c r="H23" s="1054"/>
      <c r="I23" s="1054"/>
      <c r="J23" s="1054"/>
      <c r="K23" s="1054"/>
      <c r="L23" s="1054"/>
      <c r="M23" s="1054"/>
      <c r="N23" s="1054"/>
      <c r="O23" s="1054"/>
      <c r="P23" s="1054"/>
      <c r="Q23" s="1054"/>
      <c r="R23" s="1054"/>
      <c r="S23" s="1054"/>
      <c r="T23" s="341"/>
      <c r="CF23" s="512">
        <v>19</v>
      </c>
    </row>
    <row customHeight="1" ht="11.549999999999999">
      <c r="D24" s="516"/>
      <c r="CF24" s="512">
        <v>11</v>
      </c>
    </row>
    <row customHeight="1" ht="11.549999999999999">
      <c r="D25" s="661"/>
      <c r="E25" s="661"/>
      <c r="F25" s="661"/>
      <c r="G25" s="662"/>
      <c r="CF25" s="512">
        <v>11</v>
      </c>
    </row>
    <row customHeight="1" ht="11.549999999999999">
      <c r="CF26" s="512">
        <v>11</v>
      </c>
    </row>
    <row customHeight="1" ht="11.549999999999999">
      <c r="D27" s="663"/>
      <c r="E27" s="2391"/>
      <c r="F27" s="2391"/>
      <c r="G27" s="2391"/>
      <c r="H27" s="2391"/>
      <c r="I27" s="2391"/>
      <c r="J27" s="2391"/>
      <c r="K27" s="2391"/>
      <c r="L27" s="2391"/>
      <c r="M27" s="2391"/>
      <c r="N27" s="2391"/>
      <c r="O27" s="2391"/>
      <c r="P27" s="2391"/>
      <c r="Q27" s="2391"/>
      <c r="R27" s="2391"/>
      <c r="CF27" s="512">
        <v>11</v>
      </c>
    </row>
    <row customHeight="1" ht="11.549999999999999">
      <c r="F28" s="765"/>
      <c r="G28" s="765"/>
      <c r="CF28" s="512">
        <v>11</v>
      </c>
    </row>
    <row customHeight="1" ht="11.25" hidden="1">
      <c r="A29" s="617" t="s">
        <v>82</v>
      </c>
      <c r="B29" s="456">
        <v>0</v>
      </c>
      <c r="C29" s="512">
        <v>3</v>
      </c>
      <c r="D29" s="512">
        <v>0</v>
      </c>
      <c r="E29" s="512">
        <v>7</v>
      </c>
      <c r="F29" s="512">
        <v>7</v>
      </c>
      <c r="G29" s="512">
        <v>29</v>
      </c>
      <c r="H29" s="512">
        <v>3</v>
      </c>
      <c r="I29" s="512">
        <v>5</v>
      </c>
      <c r="J29" s="512">
        <v>24</v>
      </c>
      <c r="K29" s="512">
        <v>24</v>
      </c>
      <c r="L29" s="512">
        <v>3</v>
      </c>
      <c r="M29" s="512">
        <v>6</v>
      </c>
      <c r="N29" s="512">
        <v>25</v>
      </c>
      <c r="O29" s="512">
        <v>18</v>
      </c>
      <c r="P29" s="512">
        <v>18</v>
      </c>
      <c r="Q29" s="512">
        <v>18</v>
      </c>
      <c r="R29" s="512">
        <v>18</v>
      </c>
      <c r="S29" s="512">
        <v>93</v>
      </c>
      <c r="T29" s="512">
        <v>10</v>
      </c>
      <c r="U29" s="618">
        <v>10</v>
      </c>
      <c r="V29" s="618">
        <v>11</v>
      </c>
      <c r="W29" s="619">
        <v>10</v>
      </c>
      <c r="X29" s="456">
        <v>10</v>
      </c>
      <c r="Y29" s="456">
        <v>10</v>
      </c>
      <c r="Z29" s="456">
        <v>10</v>
      </c>
      <c r="AA29" s="456">
        <v>10</v>
      </c>
      <c r="AB29" s="512">
        <v>8</v>
      </c>
      <c r="AC29" s="512">
        <v>8</v>
      </c>
      <c r="AD29" s="512">
        <v>8</v>
      </c>
      <c r="AE29" s="512">
        <v>8</v>
      </c>
      <c r="AF29" s="512">
        <v>8</v>
      </c>
      <c r="AG29" s="512">
        <v>8</v>
      </c>
      <c r="AH29" s="512">
        <v>8</v>
      </c>
      <c r="AI29" s="512">
        <v>8</v>
      </c>
      <c r="AJ29" s="512">
        <v>8</v>
      </c>
      <c r="AK29" s="512">
        <v>8</v>
      </c>
      <c r="AL29" s="512">
        <v>8</v>
      </c>
      <c r="AM29" s="512">
        <v>8</v>
      </c>
      <c r="AN29" s="512">
        <v>8</v>
      </c>
      <c r="AO29" s="512">
        <v>8</v>
      </c>
      <c r="AP29" s="512">
        <v>8</v>
      </c>
      <c r="AQ29" s="512">
        <v>8</v>
      </c>
      <c r="AR29" s="512">
        <v>8</v>
      </c>
      <c r="AS29" s="512">
        <v>8</v>
      </c>
      <c r="AT29" s="512">
        <v>8</v>
      </c>
      <c r="AU29" s="512">
        <v>8</v>
      </c>
      <c r="AV29" s="512">
        <v>8</v>
      </c>
      <c r="AW29" s="512">
        <v>8</v>
      </c>
      <c r="AX29" s="512">
        <v>8</v>
      </c>
      <c r="AY29" s="512">
        <v>8</v>
      </c>
      <c r="AZ29" s="512">
        <v>8</v>
      </c>
      <c r="BA29" s="512">
        <v>8</v>
      </c>
      <c r="BB29" s="512">
        <v>8</v>
      </c>
      <c r="BC29" s="512">
        <v>8</v>
      </c>
      <c r="BD29" s="512">
        <v>8</v>
      </c>
      <c r="BE29" s="512">
        <v>8</v>
      </c>
      <c r="BF29" s="512">
        <v>8</v>
      </c>
      <c r="BG29" s="512">
        <v>8</v>
      </c>
      <c r="BH29" s="512">
        <v>8</v>
      </c>
      <c r="BI29" s="512">
        <v>8</v>
      </c>
      <c r="BJ29" s="512">
        <v>8</v>
      </c>
      <c r="BK29" s="512">
        <v>8</v>
      </c>
      <c r="BL29" s="512">
        <v>8</v>
      </c>
      <c r="BM29" s="512">
        <v>8</v>
      </c>
      <c r="BN29" s="512">
        <v>8</v>
      </c>
      <c r="BO29" s="512">
        <v>8</v>
      </c>
      <c r="BP29" s="512">
        <v>8</v>
      </c>
      <c r="BQ29" s="512">
        <v>8</v>
      </c>
      <c r="BR29" s="512">
        <v>8</v>
      </c>
      <c r="BS29" s="512">
        <v>8</v>
      </c>
      <c r="BT29" s="512">
        <v>8</v>
      </c>
      <c r="BU29" s="512">
        <v>8</v>
      </c>
      <c r="BV29" s="512">
        <v>8</v>
      </c>
      <c r="BW29" s="512">
        <v>8</v>
      </c>
      <c r="BX29" s="512">
        <v>8</v>
      </c>
      <c r="BY29" s="512">
        <v>8</v>
      </c>
      <c r="BZ29" s="512">
        <v>8</v>
      </c>
      <c r="CA29" s="512">
        <v>8</v>
      </c>
      <c r="CB29" s="512">
        <v>8</v>
      </c>
      <c r="CC29" s="512">
        <v>8</v>
      </c>
      <c r="CD29" s="512">
        <v>8</v>
      </c>
      <c r="CE29" s="512">
        <v>8</v>
      </c>
      <c r="CF29" s="512">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C9C7DE-506E-F82E-7426-83C396ADBED6}"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94" width="10.7109375" hidden="1" customWidth="1"/>
    <col min="6" max="6" style="1373" width="16.8515625" hidden="1" customWidth="1"/>
    <col min="7" max="7" style="1649" width="5.57421875" hidden="1" customWidth="1"/>
    <col min="8" max="8" style="1642" width="3.00390625" customWidth="1"/>
    <col min="9" max="9" style="1642" width="7.00390625" customWidth="1"/>
    <col min="10" max="10" style="1642" width="56.00390625" customWidth="1"/>
    <col min="11" max="11" style="1642" width="10.00390625" customWidth="1"/>
    <col min="12" max="12" style="1642" width="40.57421875" hidden="1" customWidth="1"/>
    <col min="13" max="13" style="1642" width="40.7109375" customWidth="1"/>
    <col min="14" max="14" style="1373" width="9.7109375" hidden="1" customWidth="1"/>
    <col min="15" max="15" style="1642" width="102.00390625" customWidth="1"/>
    <col min="16" max="16" style="1373" width="9.00390625" customWidth="1"/>
    <col min="17" max="17" style="1649" width="5.00390625" customWidth="1"/>
    <col min="18" max="18" style="1649" width="3.00390625" customWidth="1"/>
    <col min="19" max="22" style="1373" width="3.00390625" customWidth="1"/>
    <col min="23" max="23" style="1649" width="10.00390625" customWidth="1"/>
    <col min="24" max="24" style="1373" width="34.00390625" customWidth="1"/>
    <col min="25" max="25" style="1373" width="9.00390625" customWidth="1"/>
    <col min="26" max="26" style="743" width="8.00390625" customWidth="1"/>
    <col min="27" max="31" style="1373" width="8.00390625" customWidth="1"/>
    <col min="32" max="36" style="1639" width="8.00390625" customWidth="1"/>
    <col min="37" max="37" style="1642" width="5.421875" hidden="1" customWidth="1"/>
  </cols>
  <sheetData>
    <row s="1373" customFormat="1" customHeight="1" ht="33.75" hidden="1">
      <c r="A1" s="994"/>
      <c r="B1" s="994"/>
      <c r="C1" s="994"/>
      <c r="D1" s="994"/>
      <c r="E1" s="994"/>
      <c r="G1" s="1643"/>
      <c r="H1" s="885"/>
      <c r="L1" s="1373">
        <v>4</v>
      </c>
      <c r="M1" s="1373">
        <v>4</v>
      </c>
      <c r="Q1" s="1643"/>
      <c r="R1" s="1643"/>
      <c r="W1" s="1643"/>
      <c r="AK1" s="1373" t="s">
        <v>14</v>
      </c>
    </row>
    <row s="1373" customFormat="1" customHeight="1" ht="78.75" hidden="1">
      <c r="A2" s="994"/>
      <c r="B2" s="2060" t="s">
        <v>777</v>
      </c>
      <c r="C2" s="2060" t="s">
        <v>778</v>
      </c>
      <c r="D2" s="2059" t="s">
        <v>779</v>
      </c>
      <c r="E2" s="2063">
        <f>RIGHT(I2,LEN(I2)-SEARCH("#",SUBSTITUTE(I2,".","#",LEN(I2)-LEN(SUBSTITUTE(I2,".","")))))</f>
      </c>
      <c r="F2" s="2065">
        <f>J2</f>
        <v>0</v>
      </c>
      <c r="G2" s="1643"/>
      <c r="H2" s="2066"/>
      <c r="I2" s="2056"/>
      <c r="J2" s="547"/>
      <c r="K2" s="2026" t="s">
        <v>718</v>
      </c>
      <c r="L2" s="758"/>
      <c r="M2" s="758"/>
      <c r="N2" s="550"/>
      <c r="O2" s="1532" t="s">
        <v>719</v>
      </c>
      <c r="P2" s="550"/>
      <c r="Q2" s="1643"/>
      <c r="R2" s="1643"/>
      <c r="W2" s="1643"/>
      <c r="Z2" s="551"/>
      <c r="AF2" s="1639"/>
      <c r="AG2" s="1639"/>
      <c r="AH2" s="1639"/>
      <c r="AI2" s="1639"/>
      <c r="AJ2" s="1639"/>
      <c r="AK2" s="1373">
        <v>0</v>
      </c>
    </row>
    <row customHeight="1" ht="11.25" hidden="1">
      <c r="E3" s="2058" t="s">
        <v>780</v>
      </c>
      <c r="L3" s="1638">
        <f>0</f>
        <v>0</v>
      </c>
      <c r="M3" s="1638">
        <v>1</v>
      </c>
      <c r="AK3" s="1638">
        <v>0</v>
      </c>
    </row>
    <row s="1639" customFormat="1" customHeight="1" ht="11.25" hidden="1">
      <c r="A4" s="994"/>
      <c r="B4" s="994"/>
      <c r="C4" s="994"/>
      <c r="E4" s="994"/>
      <c r="F4" s="1373"/>
      <c r="G4" s="1643"/>
      <c r="H4" s="627"/>
      <c r="N4" s="1373"/>
      <c r="O4" s="1639">
        <v>4</v>
      </c>
      <c r="P4" s="1373"/>
      <c r="Q4" s="1643"/>
      <c r="R4" s="1643"/>
      <c r="S4" s="1373"/>
      <c r="T4" s="1373"/>
      <c r="U4" s="1373"/>
      <c r="V4" s="1373"/>
      <c r="W4" s="1643"/>
      <c r="X4" s="1373"/>
      <c r="Y4" s="1373"/>
      <c r="Z4" s="551"/>
      <c r="AA4" s="1373"/>
      <c r="AB4" s="1373"/>
      <c r="AC4" s="1373"/>
      <c r="AD4" s="1373"/>
      <c r="AE4" s="1373"/>
      <c r="AK4" s="1639">
        <v>0</v>
      </c>
    </row>
    <row customHeight="1" ht="11.549999999999999">
      <c r="AK5" s="1638">
        <v>11</v>
      </c>
    </row>
    <row customHeight="1" ht="57.75">
      <c r="I6" s="2314" t="s">
        <v>781</v>
      </c>
      <c r="J6" s="2314"/>
      <c r="K6" s="2314"/>
      <c r="L6" s="2314"/>
      <c r="M6" s="2314"/>
      <c r="O6" s="563"/>
      <c r="AK6" s="1638">
        <v>55</v>
      </c>
    </row>
    <row customHeight="1" ht="25.2">
      <c r="I7" s="2256" t="str">
        <f>IF(org=0,"Не определено",org)</f>
        <v>ГУП "Белоблводоканал"</v>
      </c>
      <c r="J7" s="2256"/>
      <c r="K7" s="2256"/>
      <c r="L7" s="2256"/>
      <c r="M7" s="2256"/>
      <c r="AK7" s="1638">
        <v>24</v>
      </c>
    </row>
    <row customHeight="1" ht="11.549999999999999">
      <c r="I8" s="1142"/>
      <c r="J8" s="1142"/>
      <c r="K8" s="1142"/>
      <c r="L8" s="1142"/>
      <c r="M8" s="1142"/>
      <c r="AK8" s="1638">
        <v>11</v>
      </c>
    </row>
    <row s="1649" customFormat="1" customHeight="1" ht="30" hidden="1">
      <c r="A9" s="1174"/>
      <c r="B9" s="1174"/>
      <c r="C9" s="1174"/>
      <c r="E9" s="1174"/>
      <c r="H9" s="1649"/>
      <c r="L9" s="896"/>
      <c r="M9" s="896" t="s">
        <v>209</v>
      </c>
      <c r="AK9" s="1643">
        <v>1</v>
      </c>
    </row>
    <row customHeight="1" ht="11.549999999999999">
      <c r="E10" s="2057" t="s">
        <v>782</v>
      </c>
      <c r="I10" s="718"/>
      <c r="J10" s="2374" t="s">
        <v>201</v>
      </c>
      <c r="K10" s="2375"/>
      <c r="L10" s="2036" t="str">
        <f>IF(L9="","",INDEX(DIFFERENTIATION_UNMERGE_VD,MATCH(L9,DIFFERENTIATION_ID_DIFF,0)))</f>
        <v/>
      </c>
      <c r="M10" s="2036">
        <f>IF(M9="","",INDEX(DIFFERENTIATION_UNMERGE_VD,MATCH(M9,DIFFERENTIATION_ID_DIFF,0)))</f>
        <v>0</v>
      </c>
      <c r="O10" s="2134" t="s">
        <v>464</v>
      </c>
      <c r="AK10" s="1638">
        <v>11</v>
      </c>
    </row>
    <row customHeight="1" ht="11.549999999999999">
      <c r="E11" s="2057" t="s">
        <v>783</v>
      </c>
      <c r="I11" s="718"/>
      <c r="J11" s="2374" t="s">
        <v>726</v>
      </c>
      <c r="K11" s="2375"/>
      <c r="L11" s="2036" t="str">
        <f>IF(L9="","",INDEX(DIFFERENTIATION_UNMERGE_AREA,MATCH(L9,DIFFERENTIATION_ID_DIFF,0)))</f>
        <v/>
      </c>
      <c r="M11" s="2036" t="str">
        <f>IF(M9="","",INDEX(DIFFERENTIATION_UNMERGE_AREA,MATCH(M9,DIFFERENTIATION_ID_DIFF,0)))</f>
        <v/>
      </c>
      <c r="O11" s="2134"/>
      <c r="AK11" s="1638">
        <v>11</v>
      </c>
    </row>
    <row customHeight="1" ht="11.549999999999999">
      <c r="E12" s="2057" t="s">
        <v>784</v>
      </c>
      <c r="I12" s="1669"/>
      <c r="J12" s="2374" t="s">
        <v>727</v>
      </c>
      <c r="K12" s="2375"/>
      <c r="L12" s="2036" t="str">
        <f>IF(L9="","",INDEX(DIFFERENTIATION_UNMERGE_SYSTEM,MATCH(L9,DIFFERENTIATION_ID_DIFF,0)))</f>
        <v/>
      </c>
      <c r="M12" s="2036" t="str">
        <f>IF(M9="","",INDEX(DIFFERENTIATION_UNMERGE_SYSTEM,MATCH(M9,DIFFERENTIATION_ID_DIFF,0)))</f>
        <v>без дифференциации</v>
      </c>
      <c r="O12" s="2134"/>
      <c r="AK12" s="1638">
        <v>11</v>
      </c>
    </row>
    <row customHeight="1" ht="11.549999999999999">
      <c r="E13" s="2057" t="s">
        <v>785</v>
      </c>
      <c r="F13" s="2057" t="s">
        <v>786</v>
      </c>
      <c r="I13" s="2376" t="s">
        <v>463</v>
      </c>
      <c r="J13" s="2377"/>
      <c r="K13" s="2377"/>
      <c r="L13" s="2034"/>
      <c r="M13" s="2074"/>
      <c r="O13" s="2134"/>
      <c r="AK13" s="1638">
        <v>11</v>
      </c>
    </row>
    <row customHeight="1" ht="24">
      <c r="I14" s="2027" t="s">
        <v>88</v>
      </c>
      <c r="J14" s="2027" t="s">
        <v>465</v>
      </c>
      <c r="K14" s="2027" t="s">
        <v>728</v>
      </c>
      <c r="L14" s="2067" t="s">
        <v>466</v>
      </c>
      <c r="M14" s="2068" t="s">
        <v>466</v>
      </c>
      <c r="O14" s="2134"/>
      <c r="AK14" s="1638">
        <v>23</v>
      </c>
    </row>
    <row customHeight="1" ht="24">
      <c r="A15" s="2061"/>
      <c r="B15" s="2060" t="s">
        <v>787</v>
      </c>
      <c r="C15" s="2060" t="s">
        <v>788</v>
      </c>
      <c r="D15" s="2059" t="s">
        <v>789</v>
      </c>
      <c r="E15" s="2063" t="s">
        <v>790</v>
      </c>
      <c r="F15" s="2063" t="s">
        <v>790</v>
      </c>
      <c r="G15" s="1643" t="s">
        <v>750</v>
      </c>
      <c r="H15" s="2028"/>
      <c r="I15" s="1637">
        <v>1</v>
      </c>
      <c r="J15" s="2029" t="s">
        <v>791</v>
      </c>
      <c r="K15" s="2027" t="s">
        <v>469</v>
      </c>
      <c r="L15" s="669"/>
      <c r="M15" s="825"/>
      <c r="N15" s="550" t="s">
        <v>792</v>
      </c>
      <c r="O15" s="1532" t="s">
        <v>793</v>
      </c>
      <c r="P15" s="550" t="s">
        <v>792</v>
      </c>
      <c r="AK15" s="1638">
        <v>23</v>
      </c>
    </row>
    <row customHeight="1" ht="35.699999999999996">
      <c r="A16" s="2061"/>
      <c r="B16" s="2060" t="s">
        <v>794</v>
      </c>
      <c r="C16" s="2060" t="s">
        <v>795</v>
      </c>
      <c r="D16" s="2059" t="s">
        <v>779</v>
      </c>
      <c r="E16" s="2063" t="s">
        <v>790</v>
      </c>
      <c r="F16" s="2063" t="s">
        <v>790</v>
      </c>
      <c r="H16" s="2028"/>
      <c r="I16" s="1636">
        <v>2</v>
      </c>
      <c r="J16" s="2070" t="s">
        <v>796</v>
      </c>
      <c r="K16" s="2069" t="s">
        <v>718</v>
      </c>
      <c r="L16" s="2075"/>
      <c r="M16" s="1683"/>
      <c r="N16" s="550" t="s">
        <v>792</v>
      </c>
      <c r="O16" s="1532" t="s">
        <v>797</v>
      </c>
      <c r="P16" s="550" t="s">
        <v>792</v>
      </c>
      <c r="AK16" s="1638">
        <v>34</v>
      </c>
    </row>
    <row s="1649" customFormat="1" customHeight="1" ht="17.25" hidden="1">
      <c r="A17" s="1174"/>
      <c r="B17" s="1174"/>
      <c r="C17" s="1174"/>
      <c r="D17" s="1174"/>
      <c r="E17" s="1174"/>
      <c r="H17" s="1331"/>
      <c r="I17" s="1020" t="s">
        <v>798</v>
      </c>
      <c r="J17" s="998"/>
      <c r="K17" s="1020"/>
      <c r="L17" s="999"/>
      <c r="M17" s="999"/>
      <c r="O17" s="1392"/>
      <c r="AK17" s="1643">
        <v>1</v>
      </c>
    </row>
    <row s="1373" customFormat="1" customHeight="1" ht="24">
      <c r="A18" s="994"/>
      <c r="B18" s="994"/>
      <c r="C18" s="994"/>
      <c r="D18" s="994"/>
      <c r="E18" s="994"/>
      <c r="G18" s="1643"/>
      <c r="H18" s="1640"/>
      <c r="I18" s="577"/>
      <c r="J18" s="578" t="s">
        <v>748</v>
      </c>
      <c r="K18" s="579"/>
      <c r="L18" s="2077"/>
      <c r="M18" s="580"/>
      <c r="N18" s="550"/>
      <c r="O18" s="1532" t="s">
        <v>749</v>
      </c>
      <c r="P18" s="550"/>
      <c r="Q18" s="1643"/>
      <c r="R18" s="1643"/>
      <c r="W18" s="1643"/>
      <c r="Z18" s="551"/>
      <c r="AF18" s="1639"/>
      <c r="AG18" s="1639"/>
      <c r="AH18" s="1639"/>
      <c r="AI18" s="1639"/>
      <c r="AJ18" s="1639"/>
      <c r="AK18" s="1373">
        <v>23</v>
      </c>
    </row>
    <row customHeight="1" ht="19.95">
      <c r="A19" s="2061"/>
      <c r="B19" s="2060" t="s">
        <v>799</v>
      </c>
      <c r="C19" s="2060" t="s">
        <v>800</v>
      </c>
      <c r="D19" s="2059" t="s">
        <v>779</v>
      </c>
      <c r="E19" s="2063" t="s">
        <v>790</v>
      </c>
      <c r="F19" s="2063" t="s">
        <v>790</v>
      </c>
      <c r="H19" s="2028"/>
      <c r="I19" s="1671">
        <v>3</v>
      </c>
      <c r="J19" s="2029" t="s">
        <v>800</v>
      </c>
      <c r="K19" s="2025" t="s">
        <v>718</v>
      </c>
      <c r="L19" s="734"/>
      <c r="M19" s="564"/>
      <c r="N19" s="550"/>
      <c r="O19" s="1532" t="s">
        <v>801</v>
      </c>
      <c r="P19" s="550"/>
      <c r="AK19" s="1638">
        <v>19</v>
      </c>
    </row>
    <row customHeight="1" ht="77.7">
      <c r="A20" s="2061"/>
      <c r="B20" s="2060" t="s">
        <v>802</v>
      </c>
      <c r="C20" s="2060" t="s">
        <v>803</v>
      </c>
      <c r="D20" s="2059" t="s">
        <v>779</v>
      </c>
      <c r="E20" s="2063" t="s">
        <v>790</v>
      </c>
      <c r="F20" s="2063" t="s">
        <v>790</v>
      </c>
      <c r="H20" s="2028"/>
      <c r="I20" s="1671">
        <v>4</v>
      </c>
      <c r="J20" s="2029" t="s">
        <v>804</v>
      </c>
      <c r="K20" s="2025" t="s">
        <v>745</v>
      </c>
      <c r="L20" s="734"/>
      <c r="M20" s="564"/>
      <c r="N20" s="550"/>
      <c r="O20" s="1532"/>
      <c r="P20" s="550"/>
      <c r="AK20" s="1638">
        <v>74</v>
      </c>
    </row>
    <row customHeight="1" ht="35.699999999999996">
      <c r="A21" s="2061"/>
      <c r="B21" s="2060" t="s">
        <v>805</v>
      </c>
      <c r="C21" s="2060" t="s">
        <v>806</v>
      </c>
      <c r="D21" s="2059" t="s">
        <v>779</v>
      </c>
      <c r="E21" s="2063" t="s">
        <v>790</v>
      </c>
      <c r="F21" s="2063" t="s">
        <v>790</v>
      </c>
      <c r="H21" s="2028"/>
      <c r="I21" s="1671">
        <v>5</v>
      </c>
      <c r="J21" s="2029" t="s">
        <v>807</v>
      </c>
      <c r="K21" s="2025" t="s">
        <v>745</v>
      </c>
      <c r="L21" s="734"/>
      <c r="M21" s="564"/>
      <c r="N21" s="550"/>
      <c r="O21" s="1532" t="s">
        <v>801</v>
      </c>
      <c r="P21" s="550"/>
      <c r="AK21" s="1638">
        <v>34</v>
      </c>
    </row>
    <row customHeight="1" ht="48.29999999999999">
      <c r="A22" s="2061"/>
      <c r="B22" s="2060" t="s">
        <v>808</v>
      </c>
      <c r="C22" s="2060" t="s">
        <v>809</v>
      </c>
      <c r="D22" s="2059" t="s">
        <v>779</v>
      </c>
      <c r="E22" s="2063" t="s">
        <v>790</v>
      </c>
      <c r="F22" s="2063" t="s">
        <v>790</v>
      </c>
      <c r="H22" s="2028"/>
      <c r="I22" s="1671">
        <v>6</v>
      </c>
      <c r="J22" s="2029" t="s">
        <v>810</v>
      </c>
      <c r="K22" s="2025" t="s">
        <v>745</v>
      </c>
      <c r="L22" s="734"/>
      <c r="M22" s="564"/>
      <c r="N22" s="550"/>
      <c r="O22" s="1532" t="s">
        <v>811</v>
      </c>
      <c r="P22" s="550"/>
      <c r="AK22" s="1638">
        <v>46</v>
      </c>
    </row>
    <row customHeight="1" ht="19.95">
      <c r="A23" s="2061"/>
      <c r="B23" s="2060" t="s">
        <v>812</v>
      </c>
      <c r="C23" s="2060" t="s">
        <v>813</v>
      </c>
      <c r="D23" s="2059" t="s">
        <v>779</v>
      </c>
      <c r="E23" s="2063" t="s">
        <v>790</v>
      </c>
      <c r="F23" s="2063" t="s">
        <v>790</v>
      </c>
      <c r="H23" s="2028"/>
      <c r="I23" s="1671" t="s">
        <v>814</v>
      </c>
      <c r="J23" s="1531" t="s">
        <v>815</v>
      </c>
      <c r="K23" s="2025" t="s">
        <v>745</v>
      </c>
      <c r="L23" s="734"/>
      <c r="M23" s="564"/>
      <c r="N23" s="550"/>
      <c r="O23" s="1532" t="s">
        <v>801</v>
      </c>
      <c r="P23" s="550"/>
      <c r="AK23" s="1638">
        <v>19</v>
      </c>
    </row>
    <row customHeight="1" ht="19.95">
      <c r="A24" s="2061"/>
      <c r="B24" s="2060" t="s">
        <v>816</v>
      </c>
      <c r="C24" s="2060" t="s">
        <v>817</v>
      </c>
      <c r="D24" s="2059" t="s">
        <v>779</v>
      </c>
      <c r="E24" s="2063" t="s">
        <v>790</v>
      </c>
      <c r="F24" s="2063" t="s">
        <v>790</v>
      </c>
      <c r="H24" s="2028"/>
      <c r="I24" s="1671" t="s">
        <v>818</v>
      </c>
      <c r="J24" s="1531" t="s">
        <v>819</v>
      </c>
      <c r="K24" s="2025" t="s">
        <v>745</v>
      </c>
      <c r="L24" s="734"/>
      <c r="M24" s="564"/>
      <c r="N24" s="550"/>
      <c r="O24" s="1532"/>
      <c r="P24" s="550"/>
      <c r="AK24" s="1638">
        <v>19</v>
      </c>
    </row>
    <row customHeight="1" ht="24">
      <c r="A25" s="2061"/>
      <c r="B25" s="2060" t="s">
        <v>820</v>
      </c>
      <c r="C25" s="2060" t="s">
        <v>821</v>
      </c>
      <c r="D25" s="2059" t="s">
        <v>779</v>
      </c>
      <c r="E25" s="2063" t="s">
        <v>790</v>
      </c>
      <c r="F25" s="2063" t="s">
        <v>790</v>
      </c>
      <c r="H25" s="2028"/>
      <c r="I25" s="1671" t="s">
        <v>822</v>
      </c>
      <c r="J25" s="1531" t="s">
        <v>823</v>
      </c>
      <c r="K25" s="2025" t="s">
        <v>745</v>
      </c>
      <c r="L25" s="734"/>
      <c r="M25" s="564"/>
      <c r="N25" s="550"/>
      <c r="O25" s="1532"/>
      <c r="P25" s="550"/>
      <c r="AK25" s="1638">
        <v>23</v>
      </c>
    </row>
    <row customHeight="1" ht="24">
      <c r="A26" s="2061"/>
      <c r="B26" s="2060" t="s">
        <v>824</v>
      </c>
      <c r="C26" s="2060" t="s">
        <v>825</v>
      </c>
      <c r="D26" s="2059" t="s">
        <v>779</v>
      </c>
      <c r="E26" s="2063" t="s">
        <v>790</v>
      </c>
      <c r="F26" s="2063" t="s">
        <v>790</v>
      </c>
      <c r="H26" s="2028"/>
      <c r="I26" s="1671">
        <v>7</v>
      </c>
      <c r="J26" s="2029" t="s">
        <v>825</v>
      </c>
      <c r="K26" s="2025" t="s">
        <v>826</v>
      </c>
      <c r="L26" s="734"/>
      <c r="M26" s="564"/>
      <c r="N26" s="550"/>
      <c r="O26" s="1532"/>
      <c r="P26" s="550"/>
      <c r="AK26" s="1638">
        <v>23</v>
      </c>
    </row>
    <row customHeight="1" ht="24">
      <c r="A27" s="2061"/>
      <c r="B27" s="2060" t="s">
        <v>827</v>
      </c>
      <c r="C27" s="2060" t="s">
        <v>828</v>
      </c>
      <c r="D27" s="2059" t="s">
        <v>779</v>
      </c>
      <c r="E27" s="2063" t="s">
        <v>790</v>
      </c>
      <c r="F27" s="2063" t="s">
        <v>790</v>
      </c>
      <c r="H27" s="2028"/>
      <c r="I27" s="1671">
        <v>8</v>
      </c>
      <c r="J27" s="2029" t="s">
        <v>828</v>
      </c>
      <c r="K27" s="2025" t="s">
        <v>751</v>
      </c>
      <c r="L27" s="734"/>
      <c r="M27" s="564"/>
      <c r="N27" s="550"/>
      <c r="O27" s="1532"/>
      <c r="P27" s="550"/>
      <c r="AK27" s="1638">
        <v>23</v>
      </c>
    </row>
    <row customHeight="1" ht="35.699999999999996">
      <c r="A28" s="2061"/>
      <c r="B28" s="2060" t="s">
        <v>829</v>
      </c>
      <c r="C28" s="2060" t="s">
        <v>830</v>
      </c>
      <c r="D28" s="2059" t="s">
        <v>779</v>
      </c>
      <c r="E28" s="2063" t="s">
        <v>790</v>
      </c>
      <c r="F28" s="2063" t="s">
        <v>790</v>
      </c>
      <c r="H28" s="2028"/>
      <c r="I28" s="1682">
        <v>9</v>
      </c>
      <c r="J28" s="2029" t="s">
        <v>831</v>
      </c>
      <c r="K28" s="2025" t="s">
        <v>722</v>
      </c>
      <c r="L28" s="734"/>
      <c r="M28" s="564"/>
      <c r="N28" s="550"/>
      <c r="O28" s="1532"/>
      <c r="P28" s="550"/>
      <c r="AK28" s="1638">
        <v>34</v>
      </c>
    </row>
    <row customHeight="1" ht="35.699999999999996">
      <c r="A29" s="2061"/>
      <c r="B29" s="2060" t="s">
        <v>832</v>
      </c>
      <c r="C29" s="2060" t="s">
        <v>833</v>
      </c>
      <c r="D29" s="2059" t="s">
        <v>779</v>
      </c>
      <c r="E29" s="2063" t="s">
        <v>790</v>
      </c>
      <c r="F29" s="2063" t="s">
        <v>790</v>
      </c>
      <c r="H29" s="2028"/>
      <c r="I29" s="1682">
        <v>10</v>
      </c>
      <c r="J29" s="2029" t="s">
        <v>834</v>
      </c>
      <c r="K29" s="2025" t="s">
        <v>722</v>
      </c>
      <c r="L29" s="734"/>
      <c r="M29" s="564"/>
      <c r="N29" s="550"/>
      <c r="O29" s="1532"/>
      <c r="P29" s="550"/>
      <c r="AK29" s="1638">
        <v>34</v>
      </c>
    </row>
    <row customHeight="1" ht="24">
      <c r="A30" s="2061"/>
      <c r="B30" s="2060" t="s">
        <v>835</v>
      </c>
      <c r="C30" s="2060" t="s">
        <v>836</v>
      </c>
      <c r="D30" s="2059" t="s">
        <v>779</v>
      </c>
      <c r="E30" s="2063" t="s">
        <v>790</v>
      </c>
      <c r="F30" s="2063" t="s">
        <v>790</v>
      </c>
      <c r="H30" s="2028"/>
      <c r="I30" s="1682">
        <v>11</v>
      </c>
      <c r="J30" s="2029" t="s">
        <v>836</v>
      </c>
      <c r="K30" s="2025" t="s">
        <v>752</v>
      </c>
      <c r="L30" s="2076"/>
      <c r="M30" s="1628"/>
      <c r="N30" s="550"/>
      <c r="O30" s="1532"/>
      <c r="P30" s="550"/>
      <c r="AK30" s="1638">
        <v>23</v>
      </c>
    </row>
    <row customHeight="1" ht="24">
      <c r="A31" s="2061"/>
      <c r="B31" s="2060" t="s">
        <v>837</v>
      </c>
      <c r="C31" s="2060" t="s">
        <v>838</v>
      </c>
      <c r="D31" s="2059" t="s">
        <v>779</v>
      </c>
      <c r="E31" s="2063" t="s">
        <v>790</v>
      </c>
      <c r="F31" s="2063" t="s">
        <v>790</v>
      </c>
      <c r="H31" s="2028"/>
      <c r="I31" s="1682">
        <v>12</v>
      </c>
      <c r="J31" s="2029" t="s">
        <v>838</v>
      </c>
      <c r="K31" s="2025" t="s">
        <v>752</v>
      </c>
      <c r="L31" s="2076"/>
      <c r="M31" s="1628"/>
      <c r="N31" s="550"/>
      <c r="O31" s="1532"/>
      <c r="P31" s="550"/>
      <c r="AK31" s="1638">
        <v>23</v>
      </c>
    </row>
    <row customHeight="1" ht="48.29999999999999">
      <c r="A32" s="2061"/>
      <c r="B32" s="2060" t="s">
        <v>839</v>
      </c>
      <c r="C32" s="2060" t="s">
        <v>840</v>
      </c>
      <c r="D32" s="2059" t="s">
        <v>779</v>
      </c>
      <c r="E32" s="2063" t="s">
        <v>790</v>
      </c>
      <c r="F32" s="2063" t="s">
        <v>790</v>
      </c>
      <c r="H32" s="2028"/>
      <c r="I32" s="1682">
        <v>13</v>
      </c>
      <c r="J32" s="2029" t="s">
        <v>841</v>
      </c>
      <c r="K32" s="2025" t="s">
        <v>762</v>
      </c>
      <c r="L32" s="734"/>
      <c r="M32" s="564"/>
      <c r="N32" s="550"/>
      <c r="O32" s="1532" t="s">
        <v>801</v>
      </c>
      <c r="P32" s="550"/>
      <c r="AK32" s="1638">
        <v>46</v>
      </c>
    </row>
    <row s="1373" customFormat="1" customHeight="1" ht="48.29999999999999">
      <c r="A33" s="2061"/>
      <c r="B33" s="2060" t="s">
        <v>842</v>
      </c>
      <c r="C33" s="2060" t="s">
        <v>843</v>
      </c>
      <c r="D33" s="2059" t="s">
        <v>779</v>
      </c>
      <c r="E33" s="2063" t="s">
        <v>790</v>
      </c>
      <c r="F33" s="2063" t="s">
        <v>790</v>
      </c>
      <c r="G33" s="1643"/>
      <c r="H33" s="2028"/>
      <c r="I33" s="1682">
        <v>14</v>
      </c>
      <c r="J33" s="2041" t="s">
        <v>844</v>
      </c>
      <c r="K33" s="2030" t="s">
        <v>845</v>
      </c>
      <c r="L33" s="734"/>
      <c r="M33" s="564"/>
      <c r="N33" s="550"/>
      <c r="O33" s="1532" t="s">
        <v>801</v>
      </c>
      <c r="P33" s="550"/>
      <c r="Q33" s="1643"/>
      <c r="R33" s="1643"/>
      <c r="W33" s="1643"/>
      <c r="Z33" s="551"/>
      <c r="AF33" s="1639"/>
      <c r="AG33" s="1639"/>
      <c r="AH33" s="1639"/>
      <c r="AI33" s="1639"/>
      <c r="AJ33" s="1639"/>
      <c r="AK33" s="1373">
        <v>46</v>
      </c>
    </row>
    <row customHeight="1" ht="108">
      <c r="A34" s="2061"/>
      <c r="B34" s="2060" t="s">
        <v>846</v>
      </c>
      <c r="C34" s="2060" t="s">
        <v>847</v>
      </c>
      <c r="D34" s="2059" t="s">
        <v>789</v>
      </c>
      <c r="E34" s="2063" t="s">
        <v>790</v>
      </c>
      <c r="F34" s="2063" t="s">
        <v>790</v>
      </c>
      <c r="G34" s="1643" t="s">
        <v>750</v>
      </c>
      <c r="H34" s="2028"/>
      <c r="I34" s="2039">
        <v>15</v>
      </c>
      <c r="J34" s="2040" t="s">
        <v>848</v>
      </c>
      <c r="K34" s="2025" t="s">
        <v>469</v>
      </c>
      <c r="L34" s="392"/>
      <c r="M34" s="1171"/>
      <c r="N34" s="550"/>
      <c r="O34" s="1532" t="s">
        <v>793</v>
      </c>
      <c r="P34" s="550"/>
      <c r="AK34" s="1638">
        <v>103</v>
      </c>
    </row>
    <row s="1648" customFormat="1" customHeight="1" ht="11.549999999999999">
      <c r="A35" s="994"/>
      <c r="B35" s="994"/>
      <c r="C35" s="994"/>
      <c r="D35" s="994"/>
      <c r="E35" s="994"/>
      <c r="F35" s="1643"/>
      <c r="G35" s="1643"/>
      <c r="H35" s="358"/>
      <c r="N35" s="1373"/>
      <c r="P35" s="1373"/>
      <c r="Q35" s="1643"/>
      <c r="R35" s="1643"/>
      <c r="S35" s="1373"/>
      <c r="T35" s="1373"/>
      <c r="U35" s="1373"/>
      <c r="V35" s="1373"/>
      <c r="W35" s="1643"/>
      <c r="X35" s="1373"/>
      <c r="Y35" s="1373"/>
      <c r="Z35" s="551"/>
      <c r="AA35" s="1373"/>
      <c r="AB35" s="1373"/>
      <c r="AC35" s="1373"/>
      <c r="AD35" s="1373"/>
      <c r="AE35" s="1373"/>
      <c r="AF35" s="1639"/>
      <c r="AG35" s="629"/>
      <c r="AH35" s="629"/>
      <c r="AI35" s="629"/>
      <c r="AJ35" s="629"/>
      <c r="AK35" s="1648">
        <v>11</v>
      </c>
    </row>
    <row s="1648" customFormat="1" customHeight="1" ht="11.549999999999999">
      <c r="A36" s="994"/>
      <c r="B36" s="994"/>
      <c r="C36" s="994"/>
      <c r="D36" s="994"/>
      <c r="E36" s="994"/>
      <c r="F36" s="1643"/>
      <c r="G36" s="1643"/>
      <c r="H36" s="358"/>
      <c r="N36" s="1373"/>
      <c r="P36" s="1373"/>
      <c r="Q36" s="1643"/>
      <c r="R36" s="1643"/>
      <c r="S36" s="1373"/>
      <c r="T36" s="1373"/>
      <c r="U36" s="1373"/>
      <c r="V36" s="1373"/>
      <c r="W36" s="1643"/>
      <c r="X36" s="1373"/>
      <c r="Y36" s="1373"/>
      <c r="Z36" s="551"/>
      <c r="AA36" s="1373"/>
      <c r="AB36" s="1373"/>
      <c r="AC36" s="1373"/>
      <c r="AD36" s="1373"/>
      <c r="AE36" s="1373"/>
      <c r="AF36" s="1639"/>
      <c r="AG36" s="629"/>
      <c r="AH36" s="629"/>
      <c r="AI36" s="629"/>
      <c r="AJ36" s="629"/>
      <c r="AK36" s="1648">
        <v>11</v>
      </c>
    </row>
    <row s="1648" customFormat="1" customHeight="1" ht="11.549999999999999">
      <c r="A37" s="994"/>
      <c r="B37" s="994"/>
      <c r="C37" s="994"/>
      <c r="D37" s="994"/>
      <c r="E37" s="994"/>
      <c r="F37" s="1643"/>
      <c r="G37" s="1643"/>
      <c r="H37" s="358"/>
      <c r="L37" s="629"/>
      <c r="M37" s="629"/>
      <c r="N37" s="1373"/>
      <c r="P37" s="1373"/>
      <c r="Q37" s="1643"/>
      <c r="R37" s="1643"/>
      <c r="S37" s="1373"/>
      <c r="T37" s="1373"/>
      <c r="U37" s="1373"/>
      <c r="V37" s="1373"/>
      <c r="W37" s="1643"/>
      <c r="X37" s="1373"/>
      <c r="Y37" s="1373"/>
      <c r="Z37" s="551"/>
      <c r="AA37" s="1373"/>
      <c r="AB37" s="1373"/>
      <c r="AC37" s="1373"/>
      <c r="AD37" s="1373"/>
      <c r="AE37" s="1373"/>
      <c r="AF37" s="1639"/>
      <c r="AG37" s="629"/>
      <c r="AH37" s="629"/>
      <c r="AI37" s="629"/>
      <c r="AJ37" s="629"/>
      <c r="AK37" s="1648">
        <v>11</v>
      </c>
    </row>
    <row s="1648" customFormat="1" customHeight="1" ht="11.549999999999999">
      <c r="A38" s="994"/>
      <c r="B38" s="994"/>
      <c r="C38" s="994"/>
      <c r="D38" s="994"/>
      <c r="E38" s="994"/>
      <c r="F38" s="1643"/>
      <c r="G38" s="1643"/>
      <c r="H38" s="358"/>
      <c r="N38" s="1373"/>
      <c r="P38" s="1373"/>
      <c r="Q38" s="1643"/>
      <c r="R38" s="1643"/>
      <c r="S38" s="1373"/>
      <c r="T38" s="1373"/>
      <c r="U38" s="1373"/>
      <c r="V38" s="1373"/>
      <c r="W38" s="1643"/>
      <c r="X38" s="1373"/>
      <c r="Y38" s="1373"/>
      <c r="Z38" s="551"/>
      <c r="AA38" s="1373"/>
      <c r="AB38" s="1373"/>
      <c r="AC38" s="1373"/>
      <c r="AD38" s="1373"/>
      <c r="AE38" s="1373"/>
      <c r="AF38" s="1639"/>
      <c r="AG38" s="629"/>
      <c r="AH38" s="629"/>
      <c r="AI38" s="629"/>
      <c r="AJ38" s="629"/>
      <c r="AK38" s="1648">
        <v>11</v>
      </c>
    </row>
    <row s="1648" customFormat="1" customHeight="1" ht="11.549999999999999">
      <c r="A39" s="994"/>
      <c r="B39" s="994"/>
      <c r="C39" s="994"/>
      <c r="D39" s="994"/>
      <c r="E39" s="994"/>
      <c r="F39" s="1643"/>
      <c r="G39" s="1643"/>
      <c r="H39" s="358"/>
      <c r="N39" s="1373"/>
      <c r="P39" s="1373"/>
      <c r="Q39" s="1643"/>
      <c r="R39" s="1643"/>
      <c r="S39" s="1373"/>
      <c r="T39" s="1373"/>
      <c r="U39" s="1373"/>
      <c r="V39" s="1373"/>
      <c r="W39" s="1643"/>
      <c r="X39" s="1373"/>
      <c r="Y39" s="1373"/>
      <c r="Z39" s="551"/>
      <c r="AA39" s="1373"/>
      <c r="AB39" s="1373"/>
      <c r="AC39" s="1373"/>
      <c r="AD39" s="1373"/>
      <c r="AE39" s="1373"/>
      <c r="AF39" s="1639"/>
      <c r="AG39" s="629"/>
      <c r="AH39" s="629"/>
      <c r="AI39" s="629"/>
      <c r="AJ39" s="629"/>
      <c r="AK39" s="1648">
        <v>11</v>
      </c>
    </row>
    <row s="1648" customFormat="1" customHeight="1" ht="11.549999999999999">
      <c r="A40" s="994"/>
      <c r="B40" s="994"/>
      <c r="C40" s="994"/>
      <c r="D40" s="994"/>
      <c r="E40" s="994"/>
      <c r="F40" s="1643"/>
      <c r="G40" s="1643"/>
      <c r="H40" s="358"/>
      <c r="N40" s="1373"/>
      <c r="P40" s="1373"/>
      <c r="Q40" s="1643"/>
      <c r="R40" s="1643"/>
      <c r="S40" s="1373"/>
      <c r="T40" s="1373"/>
      <c r="U40" s="1373"/>
      <c r="V40" s="1373"/>
      <c r="W40" s="1643"/>
      <c r="X40" s="1373"/>
      <c r="Y40" s="1373"/>
      <c r="Z40" s="551"/>
      <c r="AA40" s="1373"/>
      <c r="AB40" s="1373"/>
      <c r="AC40" s="1373"/>
      <c r="AD40" s="1373"/>
      <c r="AE40" s="1373"/>
      <c r="AF40" s="1639"/>
      <c r="AG40" s="629"/>
      <c r="AH40" s="629"/>
      <c r="AI40" s="629"/>
      <c r="AJ40" s="629"/>
      <c r="AK40" s="1648">
        <v>11</v>
      </c>
    </row>
    <row s="1648" customFormat="1" customHeight="1" ht="11.549999999999999">
      <c r="A41" s="994"/>
      <c r="B41" s="994"/>
      <c r="C41" s="994"/>
      <c r="D41" s="994"/>
      <c r="E41" s="994"/>
      <c r="F41" s="1643"/>
      <c r="G41" s="1643"/>
      <c r="H41" s="358"/>
      <c r="N41" s="1373"/>
      <c r="P41" s="1373"/>
      <c r="Q41" s="1643"/>
      <c r="R41" s="1643"/>
      <c r="S41" s="1373"/>
      <c r="T41" s="1373"/>
      <c r="U41" s="1373"/>
      <c r="V41" s="1373"/>
      <c r="W41" s="1643"/>
      <c r="X41" s="1373"/>
      <c r="Y41" s="1373"/>
      <c r="Z41" s="551"/>
      <c r="AA41" s="1373"/>
      <c r="AB41" s="1373"/>
      <c r="AC41" s="1373"/>
      <c r="AD41" s="1373"/>
      <c r="AE41" s="1373"/>
      <c r="AF41" s="1639"/>
      <c r="AG41" s="629"/>
      <c r="AH41" s="629"/>
      <c r="AI41" s="629"/>
      <c r="AJ41" s="629"/>
      <c r="AK41" s="1648">
        <v>11</v>
      </c>
    </row>
    <row s="1648" customFormat="1" customHeight="1" ht="11.549999999999999">
      <c r="A42" s="994"/>
      <c r="B42" s="994"/>
      <c r="C42" s="994"/>
      <c r="D42" s="994"/>
      <c r="E42" s="994"/>
      <c r="F42" s="1643"/>
      <c r="G42" s="1643"/>
      <c r="H42" s="358"/>
      <c r="N42" s="1373"/>
      <c r="P42" s="1373"/>
      <c r="Q42" s="1643"/>
      <c r="R42" s="1643"/>
      <c r="S42" s="1373"/>
      <c r="T42" s="1373"/>
      <c r="U42" s="1373"/>
      <c r="V42" s="1373"/>
      <c r="W42" s="1643"/>
      <c r="X42" s="1373"/>
      <c r="Y42" s="1373"/>
      <c r="Z42" s="551"/>
      <c r="AA42" s="1373"/>
      <c r="AB42" s="1373"/>
      <c r="AC42" s="1373"/>
      <c r="AD42" s="1373"/>
      <c r="AE42" s="1373"/>
      <c r="AF42" s="1639"/>
      <c r="AG42" s="629"/>
      <c r="AH42" s="629"/>
      <c r="AI42" s="629"/>
      <c r="AJ42" s="629"/>
      <c r="AK42" s="1648">
        <v>11</v>
      </c>
    </row>
    <row s="1648" customFormat="1" customHeight="1" ht="11.549999999999999">
      <c r="A43" s="994"/>
      <c r="B43" s="994"/>
      <c r="C43" s="994"/>
      <c r="D43" s="994"/>
      <c r="E43" s="994"/>
      <c r="F43" s="1643"/>
      <c r="G43" s="1643"/>
      <c r="H43" s="358"/>
      <c r="N43" s="1373"/>
      <c r="P43" s="1373"/>
      <c r="Q43" s="1643"/>
      <c r="R43" s="1643"/>
      <c r="S43" s="1373"/>
      <c r="T43" s="1373"/>
      <c r="U43" s="1373"/>
      <c r="V43" s="1373"/>
      <c r="W43" s="1643"/>
      <c r="X43" s="1373"/>
      <c r="Y43" s="1373"/>
      <c r="Z43" s="551"/>
      <c r="AA43" s="1373"/>
      <c r="AB43" s="1373"/>
      <c r="AC43" s="1373"/>
      <c r="AD43" s="1373"/>
      <c r="AE43" s="1373"/>
      <c r="AF43" s="1639"/>
      <c r="AG43" s="629"/>
      <c r="AH43" s="629"/>
      <c r="AI43" s="629"/>
      <c r="AJ43" s="629"/>
      <c r="AK43" s="1648">
        <v>11</v>
      </c>
    </row>
    <row s="1648" customFormat="1" customHeight="1" ht="11.549999999999999">
      <c r="A44" s="994"/>
      <c r="B44" s="994"/>
      <c r="C44" s="994"/>
      <c r="D44" s="994"/>
      <c r="E44" s="994"/>
      <c r="F44" s="1643"/>
      <c r="G44" s="1643"/>
      <c r="H44" s="358"/>
      <c r="N44" s="1373"/>
      <c r="P44" s="1373"/>
      <c r="Q44" s="1643"/>
      <c r="R44" s="1643"/>
      <c r="S44" s="1373"/>
      <c r="T44" s="1373"/>
      <c r="U44" s="1373"/>
      <c r="V44" s="1373"/>
      <c r="W44" s="1643"/>
      <c r="X44" s="1373"/>
      <c r="Y44" s="1373"/>
      <c r="Z44" s="551"/>
      <c r="AA44" s="1373"/>
      <c r="AB44" s="1373"/>
      <c r="AC44" s="1373"/>
      <c r="AD44" s="1373"/>
      <c r="AE44" s="1373"/>
      <c r="AF44" s="1639"/>
      <c r="AG44" s="629"/>
      <c r="AH44" s="629"/>
      <c r="AI44" s="629"/>
      <c r="AJ44" s="629"/>
      <c r="AK44" s="1648">
        <v>11</v>
      </c>
    </row>
    <row s="1648" customFormat="1" customHeight="1" ht="11.549999999999999">
      <c r="A45" s="994"/>
      <c r="B45" s="994"/>
      <c r="C45" s="994"/>
      <c r="D45" s="994"/>
      <c r="E45" s="994"/>
      <c r="F45" s="1643"/>
      <c r="G45" s="1643"/>
      <c r="H45" s="358"/>
      <c r="N45" s="1373"/>
      <c r="P45" s="1373"/>
      <c r="Q45" s="1643"/>
      <c r="R45" s="1643"/>
      <c r="S45" s="1373"/>
      <c r="T45" s="1373"/>
      <c r="U45" s="1373"/>
      <c r="V45" s="1373"/>
      <c r="W45" s="1643"/>
      <c r="X45" s="1373"/>
      <c r="Y45" s="1373"/>
      <c r="Z45" s="551"/>
      <c r="AA45" s="1373"/>
      <c r="AB45" s="1373"/>
      <c r="AC45" s="1373"/>
      <c r="AD45" s="1373"/>
      <c r="AE45" s="1373"/>
      <c r="AF45" s="1639"/>
      <c r="AG45" s="629"/>
      <c r="AH45" s="629"/>
      <c r="AI45" s="629"/>
      <c r="AJ45" s="629"/>
      <c r="AK45" s="1648">
        <v>11</v>
      </c>
    </row>
    <row s="1648" customFormat="1" customHeight="1" ht="11.549999999999999">
      <c r="A46" s="994"/>
      <c r="B46" s="994"/>
      <c r="C46" s="994"/>
      <c r="D46" s="994"/>
      <c r="E46" s="994"/>
      <c r="F46" s="1643"/>
      <c r="G46" s="1643"/>
      <c r="H46" s="358"/>
      <c r="N46" s="1373"/>
      <c r="P46" s="1373"/>
      <c r="Q46" s="1643"/>
      <c r="R46" s="1643"/>
      <c r="S46" s="1373"/>
      <c r="T46" s="1373"/>
      <c r="U46" s="1373"/>
      <c r="V46" s="1373"/>
      <c r="W46" s="1643"/>
      <c r="X46" s="1373"/>
      <c r="Y46" s="1373"/>
      <c r="Z46" s="551"/>
      <c r="AA46" s="1373"/>
      <c r="AB46" s="1373"/>
      <c r="AC46" s="1373"/>
      <c r="AD46" s="1373"/>
      <c r="AE46" s="1373"/>
      <c r="AF46" s="1639"/>
      <c r="AG46" s="629"/>
      <c r="AH46" s="629"/>
      <c r="AI46" s="629"/>
      <c r="AJ46" s="629"/>
      <c r="AK46" s="1648">
        <v>11</v>
      </c>
    </row>
    <row s="1648" customFormat="1" customHeight="1" ht="11.549999999999999">
      <c r="A47" s="994"/>
      <c r="B47" s="994"/>
      <c r="C47" s="994"/>
      <c r="D47" s="994"/>
      <c r="E47" s="994"/>
      <c r="F47" s="1643"/>
      <c r="G47" s="1643"/>
      <c r="H47" s="358"/>
      <c r="N47" s="1373"/>
      <c r="P47" s="1373"/>
      <c r="Q47" s="1643"/>
      <c r="R47" s="1643"/>
      <c r="S47" s="1373"/>
      <c r="T47" s="1373"/>
      <c r="U47" s="1373"/>
      <c r="V47" s="1373"/>
      <c r="W47" s="1643"/>
      <c r="X47" s="1373"/>
      <c r="Y47" s="1373"/>
      <c r="Z47" s="551"/>
      <c r="AA47" s="1373"/>
      <c r="AB47" s="1373"/>
      <c r="AC47" s="1373"/>
      <c r="AD47" s="1373"/>
      <c r="AE47" s="1373"/>
      <c r="AF47" s="1639"/>
      <c r="AG47" s="629"/>
      <c r="AH47" s="629"/>
      <c r="AI47" s="629"/>
      <c r="AJ47" s="629"/>
      <c r="AK47" s="1648">
        <v>11</v>
      </c>
    </row>
    <row s="1648" customFormat="1" customHeight="1" ht="11.549999999999999">
      <c r="A48" s="994"/>
      <c r="B48" s="994"/>
      <c r="C48" s="994"/>
      <c r="D48" s="994"/>
      <c r="E48" s="994"/>
      <c r="F48" s="1643"/>
      <c r="G48" s="1643"/>
      <c r="H48" s="358"/>
      <c r="N48" s="1373"/>
      <c r="P48" s="1373"/>
      <c r="Q48" s="1643"/>
      <c r="R48" s="1643"/>
      <c r="S48" s="1373"/>
      <c r="T48" s="1373"/>
      <c r="U48" s="1373"/>
      <c r="V48" s="1373"/>
      <c r="W48" s="1643"/>
      <c r="X48" s="1373"/>
      <c r="Y48" s="1373"/>
      <c r="Z48" s="551"/>
      <c r="AA48" s="1373"/>
      <c r="AB48" s="1373"/>
      <c r="AC48" s="1373"/>
      <c r="AD48" s="1373"/>
      <c r="AE48" s="1373"/>
      <c r="AF48" s="1639"/>
      <c r="AG48" s="629"/>
      <c r="AH48" s="629"/>
      <c r="AI48" s="629"/>
      <c r="AJ48" s="629"/>
      <c r="AK48" s="1648">
        <v>11</v>
      </c>
    </row>
    <row s="1648" customFormat="1" customHeight="1" ht="11.549999999999999">
      <c r="A49" s="994"/>
      <c r="B49" s="994"/>
      <c r="C49" s="994"/>
      <c r="D49" s="994"/>
      <c r="E49" s="994"/>
      <c r="F49" s="1643"/>
      <c r="G49" s="1643"/>
      <c r="H49" s="358"/>
      <c r="N49" s="1373"/>
      <c r="P49" s="1373"/>
      <c r="Q49" s="1643"/>
      <c r="R49" s="1643"/>
      <c r="S49" s="1373"/>
      <c r="T49" s="1373"/>
      <c r="U49" s="1373"/>
      <c r="V49" s="1373"/>
      <c r="W49" s="1643"/>
      <c r="X49" s="1373"/>
      <c r="Y49" s="1373"/>
      <c r="Z49" s="551"/>
      <c r="AA49" s="1373"/>
      <c r="AB49" s="1373"/>
      <c r="AC49" s="1373"/>
      <c r="AD49" s="1373"/>
      <c r="AE49" s="1373"/>
      <c r="AF49" s="1639"/>
      <c r="AG49" s="629"/>
      <c r="AH49" s="629"/>
      <c r="AI49" s="629"/>
      <c r="AJ49" s="629"/>
      <c r="AK49" s="1648">
        <v>11</v>
      </c>
    </row>
    <row s="1648" customFormat="1" customHeight="1" ht="11.549999999999999">
      <c r="A50" s="994"/>
      <c r="B50" s="994"/>
      <c r="C50" s="994"/>
      <c r="D50" s="994"/>
      <c r="E50" s="994"/>
      <c r="F50" s="1643"/>
      <c r="G50" s="1643"/>
      <c r="H50" s="358"/>
      <c r="N50" s="1373"/>
      <c r="P50" s="1373"/>
      <c r="Q50" s="1643"/>
      <c r="R50" s="1643"/>
      <c r="S50" s="1373"/>
      <c r="T50" s="1373"/>
      <c r="U50" s="1373"/>
      <c r="V50" s="1373"/>
      <c r="W50" s="1643"/>
      <c r="X50" s="1373"/>
      <c r="Y50" s="1373"/>
      <c r="Z50" s="551"/>
      <c r="AA50" s="1373"/>
      <c r="AB50" s="1373"/>
      <c r="AC50" s="1373"/>
      <c r="AD50" s="1373"/>
      <c r="AE50" s="1373"/>
      <c r="AF50" s="1639"/>
      <c r="AG50" s="629"/>
      <c r="AH50" s="629"/>
      <c r="AI50" s="629"/>
      <c r="AJ50" s="629"/>
      <c r="AK50" s="1648">
        <v>11</v>
      </c>
    </row>
    <row s="1648" customFormat="1" customHeight="1" ht="11.549999999999999">
      <c r="A51" s="994"/>
      <c r="B51" s="994"/>
      <c r="C51" s="994"/>
      <c r="D51" s="994"/>
      <c r="E51" s="994"/>
      <c r="F51" s="1643"/>
      <c r="G51" s="1643"/>
      <c r="H51" s="358"/>
      <c r="N51" s="1373"/>
      <c r="P51" s="1373"/>
      <c r="Q51" s="1643"/>
      <c r="R51" s="1643"/>
      <c r="S51" s="1373"/>
      <c r="T51" s="1373"/>
      <c r="U51" s="1373"/>
      <c r="V51" s="1373"/>
      <c r="W51" s="1643"/>
      <c r="X51" s="1373"/>
      <c r="Y51" s="1373"/>
      <c r="Z51" s="551"/>
      <c r="AA51" s="1373"/>
      <c r="AB51" s="1373"/>
      <c r="AC51" s="1373"/>
      <c r="AD51" s="1373"/>
      <c r="AE51" s="1373"/>
      <c r="AF51" s="1639"/>
      <c r="AG51" s="629"/>
      <c r="AH51" s="629"/>
      <c r="AI51" s="629"/>
      <c r="AJ51" s="629"/>
      <c r="AK51" s="1648">
        <v>11</v>
      </c>
    </row>
    <row s="1648" customFormat="1" customHeight="1" ht="11.549999999999999">
      <c r="A52" s="994"/>
      <c r="B52" s="994"/>
      <c r="C52" s="994"/>
      <c r="D52" s="994"/>
      <c r="E52" s="994"/>
      <c r="F52" s="1643"/>
      <c r="G52" s="1643"/>
      <c r="H52" s="358"/>
      <c r="N52" s="1373"/>
      <c r="P52" s="1373"/>
      <c r="Q52" s="1643"/>
      <c r="R52" s="1643"/>
      <c r="S52" s="1373"/>
      <c r="T52" s="1373"/>
      <c r="U52" s="1373"/>
      <c r="V52" s="1373"/>
      <c r="W52" s="1643"/>
      <c r="X52" s="1373"/>
      <c r="Y52" s="1373"/>
      <c r="Z52" s="551"/>
      <c r="AA52" s="1373"/>
      <c r="AB52" s="1373"/>
      <c r="AC52" s="1373"/>
      <c r="AD52" s="1373"/>
      <c r="AE52" s="1373"/>
      <c r="AF52" s="1639"/>
      <c r="AG52" s="629"/>
      <c r="AH52" s="629"/>
      <c r="AI52" s="629"/>
      <c r="AJ52" s="629"/>
      <c r="AK52" s="1648">
        <v>11</v>
      </c>
    </row>
    <row s="1648" customFormat="1" customHeight="1" ht="11.549999999999999">
      <c r="A53" s="994"/>
      <c r="B53" s="994"/>
      <c r="C53" s="994"/>
      <c r="D53" s="994"/>
      <c r="E53" s="994"/>
      <c r="F53" s="1643"/>
      <c r="G53" s="1643"/>
      <c r="H53" s="358"/>
      <c r="N53" s="1373"/>
      <c r="P53" s="1373"/>
      <c r="Q53" s="1643"/>
      <c r="R53" s="1643"/>
      <c r="S53" s="1373"/>
      <c r="T53" s="1373"/>
      <c r="U53" s="1373"/>
      <c r="V53" s="1373"/>
      <c r="W53" s="1643"/>
      <c r="X53" s="1373"/>
      <c r="Y53" s="1373"/>
      <c r="Z53" s="551"/>
      <c r="AA53" s="1373"/>
      <c r="AB53" s="1373"/>
      <c r="AC53" s="1373"/>
      <c r="AD53" s="1373"/>
      <c r="AE53" s="1373"/>
      <c r="AF53" s="1639"/>
      <c r="AG53" s="629"/>
      <c r="AH53" s="629"/>
      <c r="AI53" s="629"/>
      <c r="AJ53" s="629"/>
      <c r="AK53" s="1648">
        <v>11</v>
      </c>
    </row>
    <row s="1648" customFormat="1" customHeight="1" ht="11.549999999999999">
      <c r="A54" s="994"/>
      <c r="B54" s="994"/>
      <c r="C54" s="994"/>
      <c r="D54" s="994"/>
      <c r="E54" s="994"/>
      <c r="F54" s="1643"/>
      <c r="G54" s="1643"/>
      <c r="H54" s="358"/>
      <c r="N54" s="1373"/>
      <c r="P54" s="1373"/>
      <c r="Q54" s="1643"/>
      <c r="R54" s="1643"/>
      <c r="S54" s="1373"/>
      <c r="T54" s="1373"/>
      <c r="U54" s="1373"/>
      <c r="V54" s="1373"/>
      <c r="W54" s="1643"/>
      <c r="X54" s="1373"/>
      <c r="Y54" s="1373"/>
      <c r="Z54" s="551"/>
      <c r="AA54" s="1373"/>
      <c r="AB54" s="1373"/>
      <c r="AC54" s="1373"/>
      <c r="AD54" s="1373"/>
      <c r="AE54" s="1373"/>
      <c r="AF54" s="1639"/>
      <c r="AG54" s="629"/>
      <c r="AH54" s="629"/>
      <c r="AI54" s="629"/>
      <c r="AJ54" s="629"/>
      <c r="AK54" s="1648">
        <v>11</v>
      </c>
    </row>
    <row s="1648" customFormat="1" customHeight="1" ht="11.549999999999999">
      <c r="A55" s="994"/>
      <c r="B55" s="994"/>
      <c r="C55" s="994"/>
      <c r="D55" s="994"/>
      <c r="E55" s="994"/>
      <c r="F55" s="1643"/>
      <c r="G55" s="1643"/>
      <c r="H55" s="358"/>
      <c r="N55" s="1373"/>
      <c r="P55" s="1373"/>
      <c r="Q55" s="1643"/>
      <c r="R55" s="1643"/>
      <c r="S55" s="1373"/>
      <c r="T55" s="1373"/>
      <c r="U55" s="1373"/>
      <c r="V55" s="1373"/>
      <c r="W55" s="1643"/>
      <c r="X55" s="1373"/>
      <c r="Y55" s="1373"/>
      <c r="Z55" s="551"/>
      <c r="AA55" s="1373"/>
      <c r="AB55" s="1373"/>
      <c r="AC55" s="1373"/>
      <c r="AD55" s="1373"/>
      <c r="AE55" s="1373"/>
      <c r="AF55" s="1639"/>
      <c r="AG55" s="629"/>
      <c r="AH55" s="629"/>
      <c r="AI55" s="629"/>
      <c r="AJ55" s="629"/>
      <c r="AK55" s="1648">
        <v>11</v>
      </c>
    </row>
    <row s="1648" customFormat="1" customHeight="1" ht="11.549999999999999">
      <c r="A56" s="994"/>
      <c r="B56" s="994"/>
      <c r="C56" s="994"/>
      <c r="D56" s="994"/>
      <c r="E56" s="994"/>
      <c r="F56" s="1643"/>
      <c r="G56" s="1643"/>
      <c r="H56" s="358"/>
      <c r="N56" s="1373"/>
      <c r="P56" s="1373"/>
      <c r="Q56" s="1643"/>
      <c r="R56" s="1643"/>
      <c r="S56" s="1373"/>
      <c r="T56" s="1373"/>
      <c r="U56" s="1373"/>
      <c r="V56" s="1373"/>
      <c r="W56" s="1643"/>
      <c r="X56" s="1373"/>
      <c r="Y56" s="1373"/>
      <c r="Z56" s="551"/>
      <c r="AA56" s="1373"/>
      <c r="AB56" s="1373"/>
      <c r="AC56" s="1373"/>
      <c r="AD56" s="1373"/>
      <c r="AE56" s="1373"/>
      <c r="AF56" s="1639"/>
      <c r="AG56" s="629"/>
      <c r="AH56" s="629"/>
      <c r="AI56" s="629"/>
      <c r="AJ56" s="629"/>
      <c r="AK56" s="1648">
        <v>11</v>
      </c>
    </row>
    <row s="1648" customFormat="1" customHeight="1" ht="11.549999999999999">
      <c r="A57" s="994"/>
      <c r="B57" s="994"/>
      <c r="C57" s="994"/>
      <c r="D57" s="994"/>
      <c r="E57" s="994"/>
      <c r="F57" s="1643"/>
      <c r="G57" s="1643"/>
      <c r="H57" s="358"/>
      <c r="N57" s="1373"/>
      <c r="P57" s="1373"/>
      <c r="Q57" s="1643"/>
      <c r="R57" s="1643"/>
      <c r="S57" s="1373"/>
      <c r="T57" s="1373"/>
      <c r="U57" s="1373"/>
      <c r="V57" s="1373"/>
      <c r="W57" s="1643"/>
      <c r="X57" s="1373"/>
      <c r="Y57" s="1373"/>
      <c r="Z57" s="551"/>
      <c r="AA57" s="1373"/>
      <c r="AB57" s="1373"/>
      <c r="AC57" s="1373"/>
      <c r="AD57" s="1373"/>
      <c r="AE57" s="1373"/>
      <c r="AF57" s="1639"/>
      <c r="AG57" s="629"/>
      <c r="AH57" s="629"/>
      <c r="AI57" s="629"/>
      <c r="AJ57" s="629"/>
      <c r="AK57" s="1648">
        <v>11</v>
      </c>
    </row>
    <row s="1648" customFormat="1" customHeight="1" ht="11.549999999999999">
      <c r="A58" s="994"/>
      <c r="B58" s="994"/>
      <c r="C58" s="994"/>
      <c r="D58" s="994"/>
      <c r="E58" s="994"/>
      <c r="F58" s="1643"/>
      <c r="G58" s="1643"/>
      <c r="H58" s="358"/>
      <c r="N58" s="1373"/>
      <c r="P58" s="1373"/>
      <c r="Q58" s="1643"/>
      <c r="R58" s="1643"/>
      <c r="S58" s="1373"/>
      <c r="T58" s="1373"/>
      <c r="U58" s="1373"/>
      <c r="V58" s="1373"/>
      <c r="W58" s="1643"/>
      <c r="X58" s="1373"/>
      <c r="Y58" s="1373"/>
      <c r="Z58" s="551"/>
      <c r="AA58" s="1373"/>
      <c r="AB58" s="1373"/>
      <c r="AC58" s="1373"/>
      <c r="AD58" s="1373"/>
      <c r="AE58" s="1373"/>
      <c r="AF58" s="1639"/>
      <c r="AG58" s="629"/>
      <c r="AH58" s="629"/>
      <c r="AI58" s="629"/>
      <c r="AJ58" s="629"/>
      <c r="AK58" s="1648">
        <v>11</v>
      </c>
    </row>
    <row s="1648" customFormat="1" customHeight="1" ht="11.549999999999999">
      <c r="A59" s="994"/>
      <c r="B59" s="994"/>
      <c r="C59" s="994"/>
      <c r="D59" s="994"/>
      <c r="E59" s="994"/>
      <c r="F59" s="1643"/>
      <c r="G59" s="1643"/>
      <c r="H59" s="358"/>
      <c r="N59" s="1373"/>
      <c r="P59" s="1373"/>
      <c r="Q59" s="1643"/>
      <c r="R59" s="1643"/>
      <c r="S59" s="1373"/>
      <c r="T59" s="1373"/>
      <c r="U59" s="1373"/>
      <c r="V59" s="1373"/>
      <c r="W59" s="1643"/>
      <c r="X59" s="1373"/>
      <c r="Y59" s="1373"/>
      <c r="Z59" s="551"/>
      <c r="AA59" s="1373"/>
      <c r="AB59" s="1373"/>
      <c r="AC59" s="1373"/>
      <c r="AD59" s="1373"/>
      <c r="AE59" s="1373"/>
      <c r="AF59" s="1639"/>
      <c r="AG59" s="629"/>
      <c r="AH59" s="629"/>
      <c r="AI59" s="629"/>
      <c r="AJ59" s="629"/>
      <c r="AK59" s="1648">
        <v>11</v>
      </c>
    </row>
    <row s="1648" customFormat="1" customHeight="1" ht="11.549999999999999">
      <c r="A60" s="994"/>
      <c r="B60" s="994"/>
      <c r="C60" s="994"/>
      <c r="D60" s="994"/>
      <c r="E60" s="994"/>
      <c r="F60" s="1643"/>
      <c r="G60" s="1643"/>
      <c r="H60" s="358"/>
      <c r="N60" s="1373"/>
      <c r="P60" s="1373"/>
      <c r="Q60" s="1643"/>
      <c r="R60" s="1643"/>
      <c r="S60" s="1373"/>
      <c r="T60" s="1373"/>
      <c r="U60" s="1373"/>
      <c r="V60" s="1373"/>
      <c r="W60" s="1643"/>
      <c r="X60" s="1373"/>
      <c r="Y60" s="1373"/>
      <c r="Z60" s="551"/>
      <c r="AA60" s="1373"/>
      <c r="AB60" s="1373"/>
      <c r="AC60" s="1373"/>
      <c r="AD60" s="1373"/>
      <c r="AE60" s="1373"/>
      <c r="AF60" s="1639"/>
      <c r="AG60" s="629"/>
      <c r="AH60" s="629"/>
      <c r="AI60" s="629"/>
      <c r="AJ60" s="629"/>
      <c r="AK60" s="1648">
        <v>11</v>
      </c>
    </row>
    <row s="1648" customFormat="1" customHeight="1" ht="11.549999999999999">
      <c r="A61" s="994"/>
      <c r="B61" s="994"/>
      <c r="C61" s="994"/>
      <c r="D61" s="994"/>
      <c r="E61" s="994"/>
      <c r="F61" s="1643"/>
      <c r="G61" s="1643"/>
      <c r="H61" s="358"/>
      <c r="N61" s="1373"/>
      <c r="P61" s="1373"/>
      <c r="Q61" s="1643"/>
      <c r="R61" s="1643"/>
      <c r="S61" s="1373"/>
      <c r="T61" s="1373"/>
      <c r="U61" s="1373"/>
      <c r="V61" s="1373"/>
      <c r="W61" s="1643"/>
      <c r="X61" s="1373"/>
      <c r="Y61" s="1373"/>
      <c r="Z61" s="551"/>
      <c r="AA61" s="1373"/>
      <c r="AB61" s="1373"/>
      <c r="AC61" s="1373"/>
      <c r="AD61" s="1373"/>
      <c r="AE61" s="1373"/>
      <c r="AF61" s="1639"/>
      <c r="AG61" s="629"/>
      <c r="AH61" s="629"/>
      <c r="AI61" s="629"/>
      <c r="AJ61" s="629"/>
      <c r="AK61" s="1648">
        <v>11</v>
      </c>
    </row>
    <row s="1648" customFormat="1" customHeight="1" ht="11.549999999999999">
      <c r="A62" s="994"/>
      <c r="B62" s="994"/>
      <c r="C62" s="994"/>
      <c r="D62" s="994"/>
      <c r="E62" s="994"/>
      <c r="F62" s="1643"/>
      <c r="G62" s="1643"/>
      <c r="H62" s="358"/>
      <c r="N62" s="1373"/>
      <c r="P62" s="1373"/>
      <c r="Q62" s="1643"/>
      <c r="R62" s="1643"/>
      <c r="S62" s="1373"/>
      <c r="T62" s="1373"/>
      <c r="U62" s="1373"/>
      <c r="V62" s="1373"/>
      <c r="W62" s="1643"/>
      <c r="X62" s="1373"/>
      <c r="Y62" s="1373"/>
      <c r="Z62" s="551"/>
      <c r="AA62" s="1373"/>
      <c r="AB62" s="1373"/>
      <c r="AC62" s="1373"/>
      <c r="AD62" s="1373"/>
      <c r="AE62" s="1373"/>
      <c r="AF62" s="1639"/>
      <c r="AG62" s="629"/>
      <c r="AH62" s="629"/>
      <c r="AI62" s="629"/>
      <c r="AJ62" s="629"/>
      <c r="AK62" s="1648">
        <v>11</v>
      </c>
    </row>
    <row s="1648" customFormat="1" customHeight="1" ht="11.549999999999999">
      <c r="A63" s="994"/>
      <c r="B63" s="994"/>
      <c r="C63" s="994"/>
      <c r="D63" s="994"/>
      <c r="E63" s="994"/>
      <c r="F63" s="1643"/>
      <c r="G63" s="1643"/>
      <c r="H63" s="358"/>
      <c r="N63" s="1373"/>
      <c r="P63" s="1373"/>
      <c r="Q63" s="1643"/>
      <c r="R63" s="1643"/>
      <c r="S63" s="1373"/>
      <c r="T63" s="1373"/>
      <c r="U63" s="1373"/>
      <c r="V63" s="1373"/>
      <c r="W63" s="1643"/>
      <c r="X63" s="1373"/>
      <c r="Y63" s="1373"/>
      <c r="Z63" s="551"/>
      <c r="AA63" s="1373"/>
      <c r="AB63" s="1373"/>
      <c r="AC63" s="1373"/>
      <c r="AD63" s="1373"/>
      <c r="AE63" s="1373"/>
      <c r="AF63" s="1639"/>
      <c r="AG63" s="629"/>
      <c r="AH63" s="629"/>
      <c r="AI63" s="629"/>
      <c r="AJ63" s="629"/>
      <c r="AK63" s="1648">
        <v>11</v>
      </c>
    </row>
    <row s="1648" customFormat="1" customHeight="1" ht="11.549999999999999">
      <c r="A64" s="994"/>
      <c r="B64" s="994"/>
      <c r="C64" s="994"/>
      <c r="D64" s="994"/>
      <c r="E64" s="994"/>
      <c r="F64" s="1643"/>
      <c r="G64" s="1643"/>
      <c r="H64" s="358"/>
      <c r="N64" s="1373"/>
      <c r="P64" s="1373"/>
      <c r="Q64" s="1643"/>
      <c r="R64" s="1643"/>
      <c r="S64" s="1373"/>
      <c r="T64" s="1373"/>
      <c r="U64" s="1373"/>
      <c r="V64" s="1373"/>
      <c r="W64" s="1643"/>
      <c r="X64" s="1373"/>
      <c r="Y64" s="1373"/>
      <c r="Z64" s="551"/>
      <c r="AA64" s="1373"/>
      <c r="AB64" s="1373"/>
      <c r="AC64" s="1373"/>
      <c r="AD64" s="1373"/>
      <c r="AE64" s="1373"/>
      <c r="AF64" s="1639"/>
      <c r="AG64" s="629"/>
      <c r="AH64" s="629"/>
      <c r="AI64" s="629"/>
      <c r="AJ64" s="629"/>
      <c r="AK64" s="1648">
        <v>11</v>
      </c>
    </row>
    <row s="1648" customFormat="1" customHeight="1" ht="11.549999999999999">
      <c r="A65" s="994"/>
      <c r="B65" s="994"/>
      <c r="C65" s="994"/>
      <c r="D65" s="994"/>
      <c r="E65" s="994"/>
      <c r="F65" s="1643"/>
      <c r="G65" s="1643"/>
      <c r="H65" s="358"/>
      <c r="N65" s="1373"/>
      <c r="P65" s="1373"/>
      <c r="Q65" s="1643"/>
      <c r="R65" s="1643"/>
      <c r="S65" s="1373"/>
      <c r="T65" s="1373"/>
      <c r="U65" s="1373"/>
      <c r="V65" s="1373"/>
      <c r="W65" s="1643"/>
      <c r="X65" s="1373"/>
      <c r="Y65" s="1373"/>
      <c r="Z65" s="551"/>
      <c r="AA65" s="1373"/>
      <c r="AB65" s="1373"/>
      <c r="AC65" s="1373"/>
      <c r="AD65" s="1373"/>
      <c r="AE65" s="1373"/>
      <c r="AF65" s="1639"/>
      <c r="AG65" s="629"/>
      <c r="AH65" s="629"/>
      <c r="AI65" s="629"/>
      <c r="AJ65" s="629"/>
      <c r="AK65" s="1648">
        <v>11</v>
      </c>
    </row>
    <row s="1648" customFormat="1" customHeight="1" ht="11.549999999999999">
      <c r="A66" s="994"/>
      <c r="B66" s="994"/>
      <c r="C66" s="994"/>
      <c r="D66" s="994"/>
      <c r="E66" s="994"/>
      <c r="F66" s="1643"/>
      <c r="G66" s="1643"/>
      <c r="H66" s="358"/>
      <c r="N66" s="1373"/>
      <c r="P66" s="1373"/>
      <c r="Q66" s="1643"/>
      <c r="R66" s="1643"/>
      <c r="S66" s="1373"/>
      <c r="T66" s="1373"/>
      <c r="U66" s="1373"/>
      <c r="V66" s="1373"/>
      <c r="W66" s="1643"/>
      <c r="X66" s="1373"/>
      <c r="Y66" s="1373"/>
      <c r="Z66" s="551"/>
      <c r="AA66" s="1373"/>
      <c r="AB66" s="1373"/>
      <c r="AC66" s="1373"/>
      <c r="AD66" s="1373"/>
      <c r="AE66" s="1373"/>
      <c r="AF66" s="1639"/>
      <c r="AG66" s="629"/>
      <c r="AH66" s="629"/>
      <c r="AI66" s="629"/>
      <c r="AJ66" s="629"/>
      <c r="AK66" s="1648">
        <v>11</v>
      </c>
    </row>
    <row s="1648" customFormat="1" customHeight="1" ht="11.549999999999999">
      <c r="A67" s="994"/>
      <c r="B67" s="994"/>
      <c r="C67" s="994"/>
      <c r="D67" s="994"/>
      <c r="E67" s="994"/>
      <c r="F67" s="1643"/>
      <c r="G67" s="1643"/>
      <c r="H67" s="358"/>
      <c r="N67" s="1373"/>
      <c r="P67" s="1373"/>
      <c r="Q67" s="1643"/>
      <c r="R67" s="1643"/>
      <c r="S67" s="1373"/>
      <c r="T67" s="1373"/>
      <c r="U67" s="1373"/>
      <c r="V67" s="1373"/>
      <c r="W67" s="1643"/>
      <c r="X67" s="1373"/>
      <c r="Y67" s="1373"/>
      <c r="Z67" s="551"/>
      <c r="AA67" s="1373"/>
      <c r="AB67" s="1373"/>
      <c r="AC67" s="1373"/>
      <c r="AD67" s="1373"/>
      <c r="AE67" s="1373"/>
      <c r="AF67" s="1639"/>
      <c r="AG67" s="629"/>
      <c r="AH67" s="629"/>
      <c r="AI67" s="629"/>
      <c r="AJ67" s="629"/>
      <c r="AK67" s="1648">
        <v>11</v>
      </c>
    </row>
    <row s="1648" customFormat="1" customHeight="1" ht="11.549999999999999">
      <c r="A68" s="994"/>
      <c r="B68" s="994"/>
      <c r="C68" s="994"/>
      <c r="D68" s="994"/>
      <c r="E68" s="994"/>
      <c r="F68" s="1643"/>
      <c r="G68" s="1643"/>
      <c r="H68" s="358"/>
      <c r="N68" s="1373"/>
      <c r="P68" s="1373"/>
      <c r="Q68" s="1643"/>
      <c r="R68" s="1643"/>
      <c r="S68" s="1373"/>
      <c r="T68" s="1373"/>
      <c r="U68" s="1373"/>
      <c r="V68" s="1373"/>
      <c r="W68" s="1643"/>
      <c r="X68" s="1373"/>
      <c r="Y68" s="1373"/>
      <c r="Z68" s="551"/>
      <c r="AA68" s="1373"/>
      <c r="AB68" s="1373"/>
      <c r="AC68" s="1373"/>
      <c r="AD68" s="1373"/>
      <c r="AE68" s="1373"/>
      <c r="AF68" s="1639"/>
      <c r="AG68" s="629"/>
      <c r="AH68" s="629"/>
      <c r="AI68" s="629"/>
      <c r="AJ68" s="629"/>
      <c r="AK68" s="1648">
        <v>11</v>
      </c>
    </row>
    <row s="1648" customFormat="1" customHeight="1" ht="11.549999999999999">
      <c r="A69" s="994"/>
      <c r="B69" s="994"/>
      <c r="C69" s="994"/>
      <c r="D69" s="994"/>
      <c r="E69" s="994"/>
      <c r="F69" s="1643"/>
      <c r="G69" s="1643"/>
      <c r="H69" s="358"/>
      <c r="N69" s="1373"/>
      <c r="P69" s="1373"/>
      <c r="Q69" s="1643"/>
      <c r="R69" s="1643"/>
      <c r="S69" s="1373"/>
      <c r="T69" s="1373"/>
      <c r="U69" s="1373"/>
      <c r="V69" s="1373"/>
      <c r="W69" s="1643"/>
      <c r="X69" s="1373"/>
      <c r="Y69" s="1373"/>
      <c r="Z69" s="551"/>
      <c r="AA69" s="1373"/>
      <c r="AB69" s="1373"/>
      <c r="AC69" s="1373"/>
      <c r="AD69" s="1373"/>
      <c r="AE69" s="1373"/>
      <c r="AF69" s="1639"/>
      <c r="AG69" s="629"/>
      <c r="AH69" s="629"/>
      <c r="AI69" s="629"/>
      <c r="AJ69" s="629"/>
      <c r="AK69" s="1648">
        <v>11</v>
      </c>
    </row>
    <row s="1648" customFormat="1" customHeight="1" ht="11.549999999999999">
      <c r="A70" s="994"/>
      <c r="B70" s="994"/>
      <c r="C70" s="994"/>
      <c r="D70" s="994"/>
      <c r="E70" s="994"/>
      <c r="F70" s="1643"/>
      <c r="G70" s="1643"/>
      <c r="H70" s="358"/>
      <c r="N70" s="1373"/>
      <c r="P70" s="1373"/>
      <c r="Q70" s="1643"/>
      <c r="R70" s="1643"/>
      <c r="S70" s="1373"/>
      <c r="T70" s="1373"/>
      <c r="U70" s="1373"/>
      <c r="V70" s="1373"/>
      <c r="W70" s="1643"/>
      <c r="X70" s="1373"/>
      <c r="Y70" s="1373"/>
      <c r="Z70" s="551"/>
      <c r="AA70" s="1373"/>
      <c r="AB70" s="1373"/>
      <c r="AC70" s="1373"/>
      <c r="AD70" s="1373"/>
      <c r="AE70" s="1373"/>
      <c r="AF70" s="1639"/>
      <c r="AG70" s="629"/>
      <c r="AH70" s="629"/>
      <c r="AI70" s="629"/>
      <c r="AJ70" s="629"/>
      <c r="AK70" s="1648">
        <v>11</v>
      </c>
    </row>
    <row s="1648" customFormat="1" customHeight="1" ht="11.549999999999999">
      <c r="A71" s="994"/>
      <c r="B71" s="994"/>
      <c r="C71" s="994"/>
      <c r="D71" s="994"/>
      <c r="E71" s="994"/>
      <c r="F71" s="1643"/>
      <c r="G71" s="1643"/>
      <c r="H71" s="358"/>
      <c r="N71" s="1373"/>
      <c r="P71" s="1373"/>
      <c r="Q71" s="1643"/>
      <c r="R71" s="1643"/>
      <c r="S71" s="1373"/>
      <c r="T71" s="1373"/>
      <c r="U71" s="1373"/>
      <c r="V71" s="1373"/>
      <c r="W71" s="1643"/>
      <c r="X71" s="1373"/>
      <c r="Y71" s="1373"/>
      <c r="Z71" s="551"/>
      <c r="AA71" s="1373"/>
      <c r="AB71" s="1373"/>
      <c r="AC71" s="1373"/>
      <c r="AD71" s="1373"/>
      <c r="AE71" s="1373"/>
      <c r="AF71" s="1639"/>
      <c r="AG71" s="629"/>
      <c r="AH71" s="629"/>
      <c r="AI71" s="629"/>
      <c r="AJ71" s="629"/>
      <c r="AK71" s="1648">
        <v>11</v>
      </c>
    </row>
    <row s="1648" customFormat="1" customHeight="1" ht="11.549999999999999">
      <c r="A72" s="994"/>
      <c r="B72" s="994"/>
      <c r="C72" s="994"/>
      <c r="D72" s="994"/>
      <c r="E72" s="994"/>
      <c r="F72" s="1643"/>
      <c r="G72" s="1643"/>
      <c r="H72" s="358"/>
      <c r="N72" s="1373"/>
      <c r="P72" s="1373"/>
      <c r="Q72" s="1643"/>
      <c r="R72" s="1643"/>
      <c r="S72" s="1373"/>
      <c r="T72" s="1373"/>
      <c r="U72" s="1373"/>
      <c r="V72" s="1373"/>
      <c r="W72" s="1643"/>
      <c r="X72" s="1373"/>
      <c r="Y72" s="1373"/>
      <c r="Z72" s="551"/>
      <c r="AA72" s="1373"/>
      <c r="AB72" s="1373"/>
      <c r="AC72" s="1373"/>
      <c r="AD72" s="1373"/>
      <c r="AE72" s="1373"/>
      <c r="AF72" s="1639"/>
      <c r="AG72" s="629"/>
      <c r="AH72" s="629"/>
      <c r="AI72" s="629"/>
      <c r="AJ72" s="629"/>
      <c r="AK72" s="1648">
        <v>11</v>
      </c>
    </row>
    <row s="1648" customFormat="1" customHeight="1" ht="11.549999999999999">
      <c r="A73" s="994"/>
      <c r="B73" s="994"/>
      <c r="C73" s="994"/>
      <c r="D73" s="994"/>
      <c r="E73" s="994"/>
      <c r="F73" s="1643"/>
      <c r="G73" s="1643"/>
      <c r="H73" s="358"/>
      <c r="N73" s="1373"/>
      <c r="P73" s="1373"/>
      <c r="Q73" s="1643"/>
      <c r="R73" s="1643"/>
      <c r="S73" s="1373"/>
      <c r="T73" s="1373"/>
      <c r="U73" s="1373"/>
      <c r="V73" s="1373"/>
      <c r="W73" s="1643"/>
      <c r="X73" s="1373"/>
      <c r="Y73" s="1373"/>
      <c r="Z73" s="551"/>
      <c r="AA73" s="1373"/>
      <c r="AB73" s="1373"/>
      <c r="AC73" s="1373"/>
      <c r="AD73" s="1373"/>
      <c r="AE73" s="1373"/>
      <c r="AF73" s="1639"/>
      <c r="AG73" s="629"/>
      <c r="AH73" s="629"/>
      <c r="AI73" s="629"/>
      <c r="AJ73" s="629"/>
      <c r="AK73" s="1648">
        <v>11</v>
      </c>
    </row>
    <row s="1648" customFormat="1" customHeight="1" ht="11.549999999999999">
      <c r="A74" s="994"/>
      <c r="B74" s="994"/>
      <c r="C74" s="994"/>
      <c r="D74" s="994"/>
      <c r="E74" s="994"/>
      <c r="F74" s="1643"/>
      <c r="G74" s="1643"/>
      <c r="H74" s="358"/>
      <c r="N74" s="1373"/>
      <c r="P74" s="1373"/>
      <c r="Q74" s="1643"/>
      <c r="R74" s="1643"/>
      <c r="S74" s="1373"/>
      <c r="T74" s="1373"/>
      <c r="U74" s="1373"/>
      <c r="V74" s="1373"/>
      <c r="W74" s="1643"/>
      <c r="X74" s="1373"/>
      <c r="Y74" s="1373"/>
      <c r="Z74" s="551"/>
      <c r="AA74" s="1373"/>
      <c r="AB74" s="1373"/>
      <c r="AC74" s="1373"/>
      <c r="AD74" s="1373"/>
      <c r="AE74" s="1373"/>
      <c r="AF74" s="1639"/>
      <c r="AG74" s="629"/>
      <c r="AH74" s="629"/>
      <c r="AI74" s="629"/>
      <c r="AJ74" s="629"/>
      <c r="AK74" s="1648">
        <v>11</v>
      </c>
    </row>
    <row s="1648" customFormat="1" customHeight="1" ht="11.549999999999999">
      <c r="A75" s="994"/>
      <c r="B75" s="994"/>
      <c r="C75" s="994"/>
      <c r="D75" s="994"/>
      <c r="E75" s="994"/>
      <c r="F75" s="1643"/>
      <c r="G75" s="1643"/>
      <c r="H75" s="358"/>
      <c r="N75" s="1373"/>
      <c r="P75" s="1373"/>
      <c r="Q75" s="1643"/>
      <c r="R75" s="1643"/>
      <c r="S75" s="1373"/>
      <c r="T75" s="1373"/>
      <c r="U75" s="1373"/>
      <c r="V75" s="1373"/>
      <c r="W75" s="1643"/>
      <c r="X75" s="1373"/>
      <c r="Y75" s="1373"/>
      <c r="Z75" s="551"/>
      <c r="AA75" s="1373"/>
      <c r="AB75" s="1373"/>
      <c r="AC75" s="1373"/>
      <c r="AD75" s="1373"/>
      <c r="AE75" s="1373"/>
      <c r="AF75" s="1639"/>
      <c r="AG75" s="629"/>
      <c r="AH75" s="629"/>
      <c r="AI75" s="629"/>
      <c r="AJ75" s="629"/>
      <c r="AK75" s="1648">
        <v>11</v>
      </c>
    </row>
    <row s="1648" customFormat="1" customHeight="1" ht="11.549999999999999">
      <c r="A76" s="994"/>
      <c r="B76" s="994"/>
      <c r="C76" s="994"/>
      <c r="D76" s="994"/>
      <c r="E76" s="994"/>
      <c r="F76" s="1643"/>
      <c r="G76" s="1643"/>
      <c r="H76" s="358"/>
      <c r="N76" s="1373"/>
      <c r="P76" s="1373"/>
      <c r="Q76" s="1643"/>
      <c r="R76" s="1643"/>
      <c r="S76" s="1373"/>
      <c r="T76" s="1373"/>
      <c r="U76" s="1373"/>
      <c r="V76" s="1373"/>
      <c r="W76" s="1643"/>
      <c r="X76" s="1373"/>
      <c r="Y76" s="1373"/>
      <c r="Z76" s="551"/>
      <c r="AA76" s="1373"/>
      <c r="AB76" s="1373"/>
      <c r="AC76" s="1373"/>
      <c r="AD76" s="1373"/>
      <c r="AE76" s="1373"/>
      <c r="AF76" s="1639"/>
      <c r="AG76" s="629"/>
      <c r="AH76" s="629"/>
      <c r="AI76" s="629"/>
      <c r="AJ76" s="629"/>
      <c r="AK76" s="1648">
        <v>11</v>
      </c>
    </row>
    <row s="1648" customFormat="1" customHeight="1" ht="11.549999999999999">
      <c r="A77" s="994"/>
      <c r="B77" s="994"/>
      <c r="C77" s="994"/>
      <c r="D77" s="994"/>
      <c r="E77" s="994"/>
      <c r="F77" s="1643"/>
      <c r="G77" s="1643"/>
      <c r="H77" s="358"/>
      <c r="N77" s="1373"/>
      <c r="P77" s="1373"/>
      <c r="Q77" s="1643"/>
      <c r="R77" s="1643"/>
      <c r="S77" s="1373"/>
      <c r="T77" s="1373"/>
      <c r="U77" s="1373"/>
      <c r="V77" s="1373"/>
      <c r="W77" s="1643"/>
      <c r="X77" s="1373"/>
      <c r="Y77" s="1373"/>
      <c r="Z77" s="551"/>
      <c r="AA77" s="1373"/>
      <c r="AB77" s="1373"/>
      <c r="AC77" s="1373"/>
      <c r="AD77" s="1373"/>
      <c r="AE77" s="1373"/>
      <c r="AF77" s="1639"/>
      <c r="AG77" s="629"/>
      <c r="AH77" s="629"/>
      <c r="AI77" s="629"/>
      <c r="AJ77" s="629"/>
      <c r="AK77" s="1648">
        <v>11</v>
      </c>
    </row>
    <row s="1648" customFormat="1" customHeight="1" ht="11.549999999999999">
      <c r="A78" s="994"/>
      <c r="B78" s="994"/>
      <c r="C78" s="994"/>
      <c r="D78" s="994"/>
      <c r="E78" s="994"/>
      <c r="F78" s="1643"/>
      <c r="G78" s="1643"/>
      <c r="H78" s="358"/>
      <c r="N78" s="1373"/>
      <c r="P78" s="1373"/>
      <c r="Q78" s="1643"/>
      <c r="R78" s="1643"/>
      <c r="S78" s="1373"/>
      <c r="T78" s="1373"/>
      <c r="U78" s="1373"/>
      <c r="V78" s="1373"/>
      <c r="W78" s="1643"/>
      <c r="X78" s="1373"/>
      <c r="Y78" s="1373"/>
      <c r="Z78" s="551"/>
      <c r="AA78" s="1373"/>
      <c r="AB78" s="1373"/>
      <c r="AC78" s="1373"/>
      <c r="AD78" s="1373"/>
      <c r="AE78" s="1373"/>
      <c r="AF78" s="1639"/>
      <c r="AG78" s="629"/>
      <c r="AH78" s="629"/>
      <c r="AI78" s="629"/>
      <c r="AJ78" s="629"/>
      <c r="AK78" s="1648">
        <v>11</v>
      </c>
    </row>
    <row s="1648" customFormat="1" customHeight="1" ht="11.549999999999999">
      <c r="A79" s="994"/>
      <c r="B79" s="994"/>
      <c r="C79" s="994"/>
      <c r="D79" s="994"/>
      <c r="E79" s="994"/>
      <c r="F79" s="1643"/>
      <c r="G79" s="1643"/>
      <c r="H79" s="358"/>
      <c r="N79" s="1373"/>
      <c r="P79" s="1373"/>
      <c r="Q79" s="1643"/>
      <c r="R79" s="1643"/>
      <c r="S79" s="1373"/>
      <c r="T79" s="1373"/>
      <c r="U79" s="1373"/>
      <c r="V79" s="1373"/>
      <c r="W79" s="1643"/>
      <c r="X79" s="1373"/>
      <c r="Y79" s="1373"/>
      <c r="Z79" s="551"/>
      <c r="AA79" s="1373"/>
      <c r="AB79" s="1373"/>
      <c r="AC79" s="1373"/>
      <c r="AD79" s="1373"/>
      <c r="AE79" s="1373"/>
      <c r="AF79" s="1639"/>
      <c r="AG79" s="629"/>
      <c r="AH79" s="629"/>
      <c r="AI79" s="629"/>
      <c r="AJ79" s="629"/>
      <c r="AK79" s="1648">
        <v>11</v>
      </c>
    </row>
    <row s="1648" customFormat="1" customHeight="1" ht="11.549999999999999">
      <c r="A80" s="994"/>
      <c r="B80" s="994"/>
      <c r="C80" s="994"/>
      <c r="D80" s="994"/>
      <c r="E80" s="994"/>
      <c r="F80" s="1643"/>
      <c r="G80" s="1643"/>
      <c r="H80" s="358"/>
      <c r="N80" s="1373"/>
      <c r="P80" s="1373"/>
      <c r="Q80" s="1643"/>
      <c r="R80" s="1643"/>
      <c r="S80" s="1373"/>
      <c r="T80" s="1373"/>
      <c r="U80" s="1373"/>
      <c r="V80" s="1373"/>
      <c r="W80" s="1643"/>
      <c r="X80" s="1373"/>
      <c r="Y80" s="1373"/>
      <c r="Z80" s="551"/>
      <c r="AA80" s="1373"/>
      <c r="AB80" s="1373"/>
      <c r="AC80" s="1373"/>
      <c r="AD80" s="1373"/>
      <c r="AE80" s="1373"/>
      <c r="AF80" s="1639"/>
      <c r="AG80" s="629"/>
      <c r="AH80" s="629"/>
      <c r="AI80" s="629"/>
      <c r="AJ80" s="629"/>
      <c r="AK80" s="1648">
        <v>11</v>
      </c>
    </row>
    <row s="1648" customFormat="1" customHeight="1" ht="11.549999999999999">
      <c r="A81" s="994"/>
      <c r="B81" s="994"/>
      <c r="C81" s="994"/>
      <c r="D81" s="994"/>
      <c r="E81" s="994"/>
      <c r="F81" s="1643"/>
      <c r="G81" s="1643"/>
      <c r="H81" s="358"/>
      <c r="N81" s="1373"/>
      <c r="P81" s="1373"/>
      <c r="Q81" s="1643"/>
      <c r="R81" s="1643"/>
      <c r="S81" s="1373"/>
      <c r="T81" s="1373"/>
      <c r="U81" s="1373"/>
      <c r="V81" s="1373"/>
      <c r="W81" s="1643"/>
      <c r="X81" s="1373"/>
      <c r="Y81" s="1373"/>
      <c r="Z81" s="551"/>
      <c r="AA81" s="1373"/>
      <c r="AB81" s="1373"/>
      <c r="AC81" s="1373"/>
      <c r="AD81" s="1373"/>
      <c r="AE81" s="1373"/>
      <c r="AF81" s="1639"/>
      <c r="AG81" s="629"/>
      <c r="AH81" s="629"/>
      <c r="AI81" s="629"/>
      <c r="AJ81" s="629"/>
      <c r="AK81" s="1648">
        <v>11</v>
      </c>
    </row>
    <row s="1648" customFormat="1" customHeight="1" ht="11.549999999999999">
      <c r="A82" s="994"/>
      <c r="B82" s="994"/>
      <c r="C82" s="994"/>
      <c r="D82" s="994"/>
      <c r="E82" s="994"/>
      <c r="F82" s="1643"/>
      <c r="G82" s="1643"/>
      <c r="H82" s="358"/>
      <c r="N82" s="1373"/>
      <c r="P82" s="1373"/>
      <c r="Q82" s="1643"/>
      <c r="R82" s="1643"/>
      <c r="S82" s="1373"/>
      <c r="T82" s="1373"/>
      <c r="U82" s="1373"/>
      <c r="V82" s="1373"/>
      <c r="W82" s="1643"/>
      <c r="X82" s="1373"/>
      <c r="Y82" s="1373"/>
      <c r="Z82" s="551"/>
      <c r="AA82" s="1373"/>
      <c r="AB82" s="1373"/>
      <c r="AC82" s="1373"/>
      <c r="AD82" s="1373"/>
      <c r="AE82" s="1373"/>
      <c r="AF82" s="1639"/>
      <c r="AG82" s="629"/>
      <c r="AH82" s="629"/>
      <c r="AI82" s="629"/>
      <c r="AJ82" s="629"/>
      <c r="AK82" s="1648">
        <v>11</v>
      </c>
    </row>
    <row s="1648" customFormat="1" customHeight="1" ht="11.549999999999999">
      <c r="A83" s="994"/>
      <c r="B83" s="994"/>
      <c r="C83" s="994"/>
      <c r="D83" s="994"/>
      <c r="E83" s="994"/>
      <c r="F83" s="1643"/>
      <c r="G83" s="1643"/>
      <c r="H83" s="358"/>
      <c r="N83" s="1373"/>
      <c r="P83" s="1373"/>
      <c r="Q83" s="1643"/>
      <c r="R83" s="1643"/>
      <c r="S83" s="1373"/>
      <c r="T83" s="1373"/>
      <c r="U83" s="1373"/>
      <c r="V83" s="1373"/>
      <c r="W83" s="1643"/>
      <c r="X83" s="1373"/>
      <c r="Y83" s="1373"/>
      <c r="Z83" s="551"/>
      <c r="AA83" s="1373"/>
      <c r="AB83" s="1373"/>
      <c r="AC83" s="1373"/>
      <c r="AD83" s="1373"/>
      <c r="AE83" s="1373"/>
      <c r="AF83" s="1639"/>
      <c r="AG83" s="629"/>
      <c r="AH83" s="629"/>
      <c r="AI83" s="629"/>
      <c r="AJ83" s="629"/>
      <c r="AK83" s="1648">
        <v>11</v>
      </c>
    </row>
    <row s="1648" customFormat="1" customHeight="1" ht="11.549999999999999">
      <c r="A84" s="994"/>
      <c r="B84" s="994"/>
      <c r="C84" s="994"/>
      <c r="D84" s="994"/>
      <c r="E84" s="994"/>
      <c r="F84" s="1643"/>
      <c r="G84" s="1643"/>
      <c r="H84" s="358"/>
      <c r="N84" s="1373"/>
      <c r="P84" s="1373"/>
      <c r="Q84" s="1643"/>
      <c r="R84" s="1643"/>
      <c r="S84" s="1373"/>
      <c r="T84" s="1373"/>
      <c r="U84" s="1373"/>
      <c r="V84" s="1373"/>
      <c r="W84" s="1643"/>
      <c r="X84" s="1373"/>
      <c r="Y84" s="1373"/>
      <c r="Z84" s="551"/>
      <c r="AA84" s="1373"/>
      <c r="AB84" s="1373"/>
      <c r="AC84" s="1373"/>
      <c r="AD84" s="1373"/>
      <c r="AE84" s="1373"/>
      <c r="AF84" s="1639"/>
      <c r="AG84" s="629"/>
      <c r="AH84" s="629"/>
      <c r="AI84" s="629"/>
      <c r="AJ84" s="629"/>
      <c r="AK84" s="1648">
        <v>11</v>
      </c>
    </row>
    <row s="1648" customFormat="1" customHeight="1" ht="11.549999999999999">
      <c r="A85" s="994"/>
      <c r="B85" s="994"/>
      <c r="C85" s="994"/>
      <c r="D85" s="994"/>
      <c r="E85" s="994"/>
      <c r="F85" s="1643"/>
      <c r="G85" s="1643"/>
      <c r="H85" s="358"/>
      <c r="N85" s="1373"/>
      <c r="P85" s="1373"/>
      <c r="Q85" s="1643"/>
      <c r="R85" s="1643"/>
      <c r="S85" s="1373"/>
      <c r="T85" s="1373"/>
      <c r="U85" s="1373"/>
      <c r="V85" s="1373"/>
      <c r="W85" s="1643"/>
      <c r="X85" s="1373"/>
      <c r="Y85" s="1373"/>
      <c r="Z85" s="551"/>
      <c r="AA85" s="1373"/>
      <c r="AB85" s="1373"/>
      <c r="AC85" s="1373"/>
      <c r="AD85" s="1373"/>
      <c r="AE85" s="1373"/>
      <c r="AF85" s="1639"/>
      <c r="AG85" s="629"/>
      <c r="AH85" s="629"/>
      <c r="AI85" s="629"/>
      <c r="AJ85" s="629"/>
      <c r="AK85" s="1648">
        <v>11</v>
      </c>
    </row>
    <row s="1648" customFormat="1" customHeight="1" ht="11.549999999999999">
      <c r="A86" s="994"/>
      <c r="B86" s="994"/>
      <c r="C86" s="994"/>
      <c r="D86" s="994"/>
      <c r="E86" s="994"/>
      <c r="F86" s="1643"/>
      <c r="G86" s="1643"/>
      <c r="H86" s="358"/>
      <c r="N86" s="1373"/>
      <c r="P86" s="1373"/>
      <c r="Q86" s="1643"/>
      <c r="R86" s="1643"/>
      <c r="S86" s="1373"/>
      <c r="T86" s="1373"/>
      <c r="U86" s="1373"/>
      <c r="V86" s="1373"/>
      <c r="W86" s="1643"/>
      <c r="X86" s="1373"/>
      <c r="Y86" s="1373"/>
      <c r="Z86" s="551"/>
      <c r="AA86" s="1373"/>
      <c r="AB86" s="1373"/>
      <c r="AC86" s="1373"/>
      <c r="AD86" s="1373"/>
      <c r="AE86" s="1373"/>
      <c r="AF86" s="1639"/>
      <c r="AG86" s="629"/>
      <c r="AH86" s="629"/>
      <c r="AI86" s="629"/>
      <c r="AJ86" s="629"/>
      <c r="AK86" s="1648">
        <v>11</v>
      </c>
    </row>
    <row s="1648" customFormat="1" customHeight="1" ht="11.549999999999999">
      <c r="A87" s="994"/>
      <c r="B87" s="994"/>
      <c r="C87" s="994"/>
      <c r="D87" s="994"/>
      <c r="E87" s="994"/>
      <c r="F87" s="1643"/>
      <c r="G87" s="1643"/>
      <c r="H87" s="358"/>
      <c r="N87" s="1373"/>
      <c r="P87" s="1373"/>
      <c r="Q87" s="1643"/>
      <c r="R87" s="1643"/>
      <c r="S87" s="1373"/>
      <c r="T87" s="1373"/>
      <c r="U87" s="1373"/>
      <c r="V87" s="1373"/>
      <c r="W87" s="1643"/>
      <c r="X87" s="1373"/>
      <c r="Y87" s="1373"/>
      <c r="Z87" s="551"/>
      <c r="AA87" s="1373"/>
      <c r="AB87" s="1373"/>
      <c r="AC87" s="1373"/>
      <c r="AD87" s="1373"/>
      <c r="AE87" s="1373"/>
      <c r="AF87" s="1639"/>
      <c r="AG87" s="629"/>
      <c r="AH87" s="629"/>
      <c r="AI87" s="629"/>
      <c r="AJ87" s="629"/>
      <c r="AK87" s="1648">
        <v>11</v>
      </c>
    </row>
    <row s="1648" customFormat="1" customHeight="1" ht="11.549999999999999">
      <c r="A88" s="994"/>
      <c r="B88" s="994"/>
      <c r="C88" s="994"/>
      <c r="D88" s="994"/>
      <c r="E88" s="994"/>
      <c r="F88" s="1643"/>
      <c r="G88" s="1643"/>
      <c r="H88" s="358"/>
      <c r="N88" s="1373"/>
      <c r="P88" s="1373"/>
      <c r="Q88" s="1643"/>
      <c r="R88" s="1643"/>
      <c r="S88" s="1373"/>
      <c r="T88" s="1373"/>
      <c r="U88" s="1373"/>
      <c r="V88" s="1373"/>
      <c r="W88" s="1643"/>
      <c r="X88" s="1373"/>
      <c r="Y88" s="1373"/>
      <c r="Z88" s="551"/>
      <c r="AA88" s="1373"/>
      <c r="AB88" s="1373"/>
      <c r="AC88" s="1373"/>
      <c r="AD88" s="1373"/>
      <c r="AE88" s="1373"/>
      <c r="AF88" s="1639"/>
      <c r="AG88" s="629"/>
      <c r="AH88" s="629"/>
      <c r="AI88" s="629"/>
      <c r="AJ88" s="629"/>
      <c r="AK88" s="1648">
        <v>11</v>
      </c>
    </row>
    <row s="1648" customFormat="1" customHeight="1" ht="11.549999999999999">
      <c r="A89" s="994"/>
      <c r="B89" s="994"/>
      <c r="C89" s="994"/>
      <c r="D89" s="994"/>
      <c r="E89" s="994"/>
      <c r="F89" s="1643"/>
      <c r="G89" s="1643"/>
      <c r="H89" s="358"/>
      <c r="N89" s="1373"/>
      <c r="P89" s="1373"/>
      <c r="Q89" s="1643"/>
      <c r="R89" s="1643"/>
      <c r="S89" s="1373"/>
      <c r="T89" s="1373"/>
      <c r="U89" s="1373"/>
      <c r="V89" s="1373"/>
      <c r="W89" s="1643"/>
      <c r="X89" s="1373"/>
      <c r="Y89" s="1373"/>
      <c r="Z89" s="551"/>
      <c r="AA89" s="1373"/>
      <c r="AB89" s="1373"/>
      <c r="AC89" s="1373"/>
      <c r="AD89" s="1373"/>
      <c r="AE89" s="1373"/>
      <c r="AF89" s="1639"/>
      <c r="AG89" s="629"/>
      <c r="AH89" s="629"/>
      <c r="AI89" s="629"/>
      <c r="AJ89" s="629"/>
      <c r="AK89" s="1648">
        <v>11</v>
      </c>
    </row>
    <row s="1648" customFormat="1" customHeight="1" ht="11.549999999999999">
      <c r="A90" s="994"/>
      <c r="B90" s="994"/>
      <c r="C90" s="994"/>
      <c r="D90" s="994"/>
      <c r="E90" s="994"/>
      <c r="F90" s="1643"/>
      <c r="G90" s="1643"/>
      <c r="H90" s="358"/>
      <c r="N90" s="1373"/>
      <c r="P90" s="1373"/>
      <c r="Q90" s="1643"/>
      <c r="R90" s="1643"/>
      <c r="S90" s="1373"/>
      <c r="T90" s="1373"/>
      <c r="U90" s="1373"/>
      <c r="V90" s="1373"/>
      <c r="W90" s="1643"/>
      <c r="X90" s="1373"/>
      <c r="Y90" s="1373"/>
      <c r="Z90" s="551"/>
      <c r="AA90" s="1373"/>
      <c r="AB90" s="1373"/>
      <c r="AC90" s="1373"/>
      <c r="AD90" s="1373"/>
      <c r="AE90" s="1373"/>
      <c r="AF90" s="1639"/>
      <c r="AG90" s="629"/>
      <c r="AH90" s="629"/>
      <c r="AI90" s="629"/>
      <c r="AJ90" s="629"/>
      <c r="AK90" s="1648">
        <v>11</v>
      </c>
    </row>
    <row s="1648" customFormat="1" customHeight="1" ht="11.549999999999999">
      <c r="A91" s="994"/>
      <c r="B91" s="994"/>
      <c r="C91" s="994"/>
      <c r="D91" s="994"/>
      <c r="E91" s="994"/>
      <c r="F91" s="1643"/>
      <c r="G91" s="1643"/>
      <c r="H91" s="358"/>
      <c r="N91" s="1373"/>
      <c r="P91" s="1373"/>
      <c r="Q91" s="1643"/>
      <c r="R91" s="1643"/>
      <c r="S91" s="1373"/>
      <c r="T91" s="1373"/>
      <c r="U91" s="1373"/>
      <c r="V91" s="1373"/>
      <c r="W91" s="1643"/>
      <c r="X91" s="1373"/>
      <c r="Y91" s="1373"/>
      <c r="Z91" s="551"/>
      <c r="AA91" s="1373"/>
      <c r="AB91" s="1373"/>
      <c r="AC91" s="1373"/>
      <c r="AD91" s="1373"/>
      <c r="AE91" s="1373"/>
      <c r="AF91" s="1639"/>
      <c r="AG91" s="629"/>
      <c r="AH91" s="629"/>
      <c r="AI91" s="629"/>
      <c r="AJ91" s="629"/>
      <c r="AK91" s="1648">
        <v>11</v>
      </c>
    </row>
    <row s="1648" customFormat="1" customHeight="1" ht="11.549999999999999">
      <c r="A92" s="994"/>
      <c r="B92" s="994"/>
      <c r="C92" s="994"/>
      <c r="D92" s="994"/>
      <c r="E92" s="994"/>
      <c r="F92" s="1643"/>
      <c r="G92" s="1643"/>
      <c r="H92" s="358"/>
      <c r="N92" s="1373"/>
      <c r="P92" s="1373"/>
      <c r="Q92" s="1643"/>
      <c r="R92" s="1643"/>
      <c r="S92" s="1373"/>
      <c r="T92" s="1373"/>
      <c r="U92" s="1373"/>
      <c r="V92" s="1373"/>
      <c r="W92" s="1643"/>
      <c r="X92" s="1373"/>
      <c r="Y92" s="1373"/>
      <c r="Z92" s="551"/>
      <c r="AA92" s="1373"/>
      <c r="AB92" s="1373"/>
      <c r="AC92" s="1373"/>
      <c r="AD92" s="1373"/>
      <c r="AE92" s="1373"/>
      <c r="AF92" s="1639"/>
      <c r="AG92" s="629"/>
      <c r="AH92" s="629"/>
      <c r="AI92" s="629"/>
      <c r="AJ92" s="629"/>
      <c r="AK92" s="1648">
        <v>11</v>
      </c>
    </row>
    <row s="1648" customFormat="1" customHeight="1" ht="11.549999999999999">
      <c r="A93" s="994"/>
      <c r="B93" s="994"/>
      <c r="C93" s="994"/>
      <c r="D93" s="994"/>
      <c r="E93" s="994"/>
      <c r="F93" s="1643"/>
      <c r="G93" s="1643"/>
      <c r="H93" s="358"/>
      <c r="N93" s="1373"/>
      <c r="P93" s="1373"/>
      <c r="Q93" s="1643"/>
      <c r="R93" s="1643"/>
      <c r="S93" s="1373"/>
      <c r="T93" s="1373"/>
      <c r="U93" s="1373"/>
      <c r="V93" s="1373"/>
      <c r="W93" s="1643"/>
      <c r="X93" s="1373"/>
      <c r="Y93" s="1373"/>
      <c r="Z93" s="551"/>
      <c r="AA93" s="1373"/>
      <c r="AB93" s="1373"/>
      <c r="AC93" s="1373"/>
      <c r="AD93" s="1373"/>
      <c r="AE93" s="1373"/>
      <c r="AF93" s="1639"/>
      <c r="AG93" s="629"/>
      <c r="AH93" s="629"/>
      <c r="AI93" s="629"/>
      <c r="AJ93" s="629"/>
      <c r="AK93" s="1648">
        <v>11</v>
      </c>
    </row>
    <row s="1648" customFormat="1" customHeight="1" ht="11.549999999999999">
      <c r="A94" s="994"/>
      <c r="B94" s="994"/>
      <c r="C94" s="994"/>
      <c r="D94" s="994"/>
      <c r="E94" s="994"/>
      <c r="F94" s="1643"/>
      <c r="G94" s="1643"/>
      <c r="H94" s="358"/>
      <c r="N94" s="1373"/>
      <c r="P94" s="1373"/>
      <c r="Q94" s="1643"/>
      <c r="R94" s="1643"/>
      <c r="S94" s="1373"/>
      <c r="T94" s="1373"/>
      <c r="U94" s="1373"/>
      <c r="V94" s="1373"/>
      <c r="W94" s="1643"/>
      <c r="X94" s="1373"/>
      <c r="Y94" s="1373"/>
      <c r="Z94" s="551"/>
      <c r="AA94" s="1373"/>
      <c r="AB94" s="1373"/>
      <c r="AC94" s="1373"/>
      <c r="AD94" s="1373"/>
      <c r="AE94" s="1373"/>
      <c r="AF94" s="1639"/>
      <c r="AG94" s="629"/>
      <c r="AH94" s="629"/>
      <c r="AI94" s="629"/>
      <c r="AJ94" s="629"/>
      <c r="AK94" s="1648">
        <v>11</v>
      </c>
    </row>
    <row s="1648" customFormat="1" customHeight="1" ht="11.549999999999999">
      <c r="A95" s="994"/>
      <c r="B95" s="994"/>
      <c r="C95" s="994"/>
      <c r="D95" s="994"/>
      <c r="E95" s="994"/>
      <c r="F95" s="1643"/>
      <c r="G95" s="1643"/>
      <c r="H95" s="358"/>
      <c r="N95" s="1373"/>
      <c r="P95" s="1373"/>
      <c r="Q95" s="1643"/>
      <c r="R95" s="1643"/>
      <c r="S95" s="1373"/>
      <c r="T95" s="1373"/>
      <c r="U95" s="1373"/>
      <c r="V95" s="1373"/>
      <c r="W95" s="1643"/>
      <c r="X95" s="1373"/>
      <c r="Y95" s="1373"/>
      <c r="Z95" s="551"/>
      <c r="AA95" s="1373"/>
      <c r="AB95" s="1373"/>
      <c r="AC95" s="1373"/>
      <c r="AD95" s="1373"/>
      <c r="AE95" s="1373"/>
      <c r="AF95" s="1639"/>
      <c r="AG95" s="629"/>
      <c r="AH95" s="629"/>
      <c r="AI95" s="629"/>
      <c r="AJ95" s="629"/>
      <c r="AK95" s="1648">
        <v>11</v>
      </c>
    </row>
    <row s="1648" customFormat="1" customHeight="1" ht="11.549999999999999">
      <c r="A96" s="994"/>
      <c r="B96" s="994"/>
      <c r="C96" s="994"/>
      <c r="D96" s="994"/>
      <c r="E96" s="994"/>
      <c r="F96" s="1643"/>
      <c r="G96" s="1643"/>
      <c r="H96" s="358"/>
      <c r="N96" s="1373"/>
      <c r="P96" s="1373"/>
      <c r="Q96" s="1643"/>
      <c r="R96" s="1643"/>
      <c r="S96" s="1373"/>
      <c r="T96" s="1373"/>
      <c r="U96" s="1373"/>
      <c r="V96" s="1373"/>
      <c r="W96" s="1643"/>
      <c r="X96" s="1373"/>
      <c r="Y96" s="1373"/>
      <c r="Z96" s="551"/>
      <c r="AA96" s="1373"/>
      <c r="AB96" s="1373"/>
      <c r="AC96" s="1373"/>
      <c r="AD96" s="1373"/>
      <c r="AE96" s="1373"/>
      <c r="AF96" s="1639"/>
      <c r="AG96" s="629"/>
      <c r="AH96" s="629"/>
      <c r="AI96" s="629"/>
      <c r="AJ96" s="629"/>
      <c r="AK96" s="1648">
        <v>11</v>
      </c>
    </row>
    <row s="1648" customFormat="1" customHeight="1" ht="11.549999999999999">
      <c r="A97" s="994"/>
      <c r="B97" s="994"/>
      <c r="C97" s="994"/>
      <c r="D97" s="994"/>
      <c r="E97" s="994"/>
      <c r="F97" s="1643"/>
      <c r="G97" s="1643"/>
      <c r="H97" s="358"/>
      <c r="N97" s="1373"/>
      <c r="P97" s="1373"/>
      <c r="Q97" s="1643"/>
      <c r="R97" s="1643"/>
      <c r="S97" s="1373"/>
      <c r="T97" s="1373"/>
      <c r="U97" s="1373"/>
      <c r="V97" s="1373"/>
      <c r="W97" s="1643"/>
      <c r="X97" s="1373"/>
      <c r="Y97" s="1373"/>
      <c r="Z97" s="551"/>
      <c r="AA97" s="1373"/>
      <c r="AB97" s="1373"/>
      <c r="AC97" s="1373"/>
      <c r="AD97" s="1373"/>
      <c r="AE97" s="1373"/>
      <c r="AF97" s="1639"/>
      <c r="AG97" s="629"/>
      <c r="AH97" s="629"/>
      <c r="AI97" s="629"/>
      <c r="AJ97" s="629"/>
      <c r="AK97" s="1648">
        <v>11</v>
      </c>
    </row>
    <row s="1648" customFormat="1" customHeight="1" ht="11.549999999999999">
      <c r="A98" s="994"/>
      <c r="B98" s="994"/>
      <c r="C98" s="994"/>
      <c r="D98" s="994"/>
      <c r="E98" s="994"/>
      <c r="F98" s="1643"/>
      <c r="G98" s="1643"/>
      <c r="H98" s="358"/>
      <c r="N98" s="1373"/>
      <c r="P98" s="1373"/>
      <c r="Q98" s="1643"/>
      <c r="R98" s="1643"/>
      <c r="S98" s="1373"/>
      <c r="T98" s="1373"/>
      <c r="U98" s="1373"/>
      <c r="V98" s="1373"/>
      <c r="W98" s="1643"/>
      <c r="X98" s="1373"/>
      <c r="Y98" s="1373"/>
      <c r="Z98" s="551"/>
      <c r="AA98" s="1373"/>
      <c r="AB98" s="1373"/>
      <c r="AC98" s="1373"/>
      <c r="AD98" s="1373"/>
      <c r="AE98" s="1373"/>
      <c r="AF98" s="1639"/>
      <c r="AG98" s="629"/>
      <c r="AH98" s="629"/>
      <c r="AI98" s="629"/>
      <c r="AJ98" s="629"/>
      <c r="AK98" s="1648">
        <v>11</v>
      </c>
    </row>
    <row s="1648" customFormat="1" customHeight="1" ht="11.549999999999999">
      <c r="A99" s="994"/>
      <c r="B99" s="994"/>
      <c r="C99" s="994"/>
      <c r="D99" s="994"/>
      <c r="E99" s="994"/>
      <c r="F99" s="1643"/>
      <c r="G99" s="1643"/>
      <c r="H99" s="358"/>
      <c r="N99" s="1373"/>
      <c r="P99" s="1373"/>
      <c r="Q99" s="1643"/>
      <c r="R99" s="1643"/>
      <c r="S99" s="1373"/>
      <c r="T99" s="1373"/>
      <c r="U99" s="1373"/>
      <c r="V99" s="1373"/>
      <c r="W99" s="1643"/>
      <c r="X99" s="1373"/>
      <c r="Y99" s="1373"/>
      <c r="Z99" s="551"/>
      <c r="AA99" s="1373"/>
      <c r="AB99" s="1373"/>
      <c r="AC99" s="1373"/>
      <c r="AD99" s="1373"/>
      <c r="AE99" s="1373"/>
      <c r="AF99" s="1639"/>
      <c r="AG99" s="629"/>
      <c r="AH99" s="629"/>
      <c r="AI99" s="629"/>
      <c r="AJ99" s="629"/>
      <c r="AK99" s="1648">
        <v>11</v>
      </c>
    </row>
    <row s="1648" customFormat="1" customHeight="1" ht="11.549999999999999">
      <c r="A100" s="994"/>
      <c r="B100" s="994"/>
      <c r="C100" s="994"/>
      <c r="D100" s="994"/>
      <c r="E100" s="994"/>
      <c r="F100" s="1643"/>
      <c r="G100" s="1643"/>
      <c r="H100" s="358"/>
      <c r="N100" s="1373"/>
      <c r="P100" s="1373"/>
      <c r="Q100" s="1643"/>
      <c r="R100" s="1643"/>
      <c r="S100" s="1373"/>
      <c r="T100" s="1373"/>
      <c r="U100" s="1373"/>
      <c r="V100" s="1373"/>
      <c r="W100" s="1643"/>
      <c r="X100" s="1373"/>
      <c r="Y100" s="1373"/>
      <c r="Z100" s="551"/>
      <c r="AA100" s="1373"/>
      <c r="AB100" s="1373"/>
      <c r="AC100" s="1373"/>
      <c r="AD100" s="1373"/>
      <c r="AE100" s="1373"/>
      <c r="AF100" s="1639"/>
      <c r="AG100" s="629"/>
      <c r="AH100" s="629"/>
      <c r="AI100" s="629"/>
      <c r="AJ100" s="629"/>
      <c r="AK100" s="1648">
        <v>11</v>
      </c>
    </row>
    <row s="1648" customFormat="1" customHeight="1" ht="11.549999999999999">
      <c r="A101" s="994"/>
      <c r="B101" s="994"/>
      <c r="C101" s="994"/>
      <c r="D101" s="994"/>
      <c r="E101" s="994"/>
      <c r="F101" s="1643"/>
      <c r="G101" s="1643"/>
      <c r="H101" s="358"/>
      <c r="N101" s="1373"/>
      <c r="P101" s="1373"/>
      <c r="Q101" s="1643"/>
      <c r="R101" s="1643"/>
      <c r="S101" s="1373"/>
      <c r="T101" s="1373"/>
      <c r="U101" s="1373"/>
      <c r="V101" s="1373"/>
      <c r="W101" s="1643"/>
      <c r="X101" s="1373"/>
      <c r="Y101" s="1373"/>
      <c r="Z101" s="551"/>
      <c r="AA101" s="1373"/>
      <c r="AB101" s="1373"/>
      <c r="AC101" s="1373"/>
      <c r="AD101" s="1373"/>
      <c r="AE101" s="1373"/>
      <c r="AF101" s="1639"/>
      <c r="AG101" s="629"/>
      <c r="AH101" s="629"/>
      <c r="AI101" s="629"/>
      <c r="AJ101" s="629"/>
      <c r="AK101" s="1648">
        <v>11</v>
      </c>
    </row>
    <row s="1648" customFormat="1" customHeight="1" ht="11.549999999999999">
      <c r="A102" s="994"/>
      <c r="B102" s="994"/>
      <c r="C102" s="994"/>
      <c r="D102" s="994"/>
      <c r="E102" s="994"/>
      <c r="F102" s="1643"/>
      <c r="G102" s="1643"/>
      <c r="H102" s="358"/>
      <c r="N102" s="1373"/>
      <c r="P102" s="1373"/>
      <c r="Q102" s="1643"/>
      <c r="R102" s="1643"/>
      <c r="S102" s="1373"/>
      <c r="T102" s="1373"/>
      <c r="U102" s="1373"/>
      <c r="V102" s="1373"/>
      <c r="W102" s="1643"/>
      <c r="X102" s="1373"/>
      <c r="Y102" s="1373"/>
      <c r="Z102" s="551"/>
      <c r="AA102" s="1373"/>
      <c r="AB102" s="1373"/>
      <c r="AC102" s="1373"/>
      <c r="AD102" s="1373"/>
      <c r="AE102" s="1373"/>
      <c r="AF102" s="1639"/>
      <c r="AG102" s="629"/>
      <c r="AH102" s="629"/>
      <c r="AI102" s="629"/>
      <c r="AJ102" s="629"/>
      <c r="AK102" s="1648">
        <v>11</v>
      </c>
    </row>
    <row s="1648" customFormat="1" customHeight="1" ht="11.549999999999999">
      <c r="A103" s="994"/>
      <c r="B103" s="994"/>
      <c r="C103" s="994"/>
      <c r="D103" s="994"/>
      <c r="E103" s="994"/>
      <c r="F103" s="1643"/>
      <c r="G103" s="1643"/>
      <c r="H103" s="358"/>
      <c r="N103" s="1373"/>
      <c r="P103" s="1373"/>
      <c r="Q103" s="1643"/>
      <c r="R103" s="1643"/>
      <c r="S103" s="1373"/>
      <c r="T103" s="1373"/>
      <c r="U103" s="1373"/>
      <c r="V103" s="1373"/>
      <c r="W103" s="1643"/>
      <c r="X103" s="1373"/>
      <c r="Y103" s="1373"/>
      <c r="Z103" s="551"/>
      <c r="AA103" s="1373"/>
      <c r="AB103" s="1373"/>
      <c r="AC103" s="1373"/>
      <c r="AD103" s="1373"/>
      <c r="AE103" s="1373"/>
      <c r="AF103" s="1639"/>
      <c r="AG103" s="629"/>
      <c r="AH103" s="629"/>
      <c r="AI103" s="629"/>
      <c r="AJ103" s="629"/>
      <c r="AK103" s="1648">
        <v>11</v>
      </c>
    </row>
    <row s="1648" customFormat="1" customHeight="1" ht="11.549999999999999">
      <c r="A104" s="994"/>
      <c r="B104" s="994"/>
      <c r="C104" s="994"/>
      <c r="D104" s="994"/>
      <c r="E104" s="994"/>
      <c r="F104" s="1643"/>
      <c r="G104" s="1643"/>
      <c r="H104" s="358"/>
      <c r="N104" s="1373"/>
      <c r="P104" s="1373"/>
      <c r="Q104" s="1643"/>
      <c r="R104" s="1643"/>
      <c r="S104" s="1373"/>
      <c r="T104" s="1373"/>
      <c r="U104" s="1373"/>
      <c r="V104" s="1373"/>
      <c r="W104" s="1643"/>
      <c r="X104" s="1373"/>
      <c r="Y104" s="1373"/>
      <c r="Z104" s="551"/>
      <c r="AA104" s="1373"/>
      <c r="AB104" s="1373"/>
      <c r="AC104" s="1373"/>
      <c r="AD104" s="1373"/>
      <c r="AE104" s="1373"/>
      <c r="AF104" s="1639"/>
      <c r="AG104" s="629"/>
      <c r="AH104" s="629"/>
      <c r="AI104" s="629"/>
      <c r="AJ104" s="629"/>
      <c r="AK104" s="1648">
        <v>11</v>
      </c>
    </row>
    <row s="1648" customFormat="1" customHeight="1" ht="11.549999999999999">
      <c r="A105" s="994"/>
      <c r="B105" s="994"/>
      <c r="C105" s="994"/>
      <c r="D105" s="994"/>
      <c r="E105" s="994"/>
      <c r="F105" s="1643"/>
      <c r="G105" s="1643"/>
      <c r="H105" s="358"/>
      <c r="N105" s="1373"/>
      <c r="P105" s="1373"/>
      <c r="Q105" s="1643"/>
      <c r="R105" s="1643"/>
      <c r="S105" s="1373"/>
      <c r="T105" s="1373"/>
      <c r="U105" s="1373"/>
      <c r="V105" s="1373"/>
      <c r="W105" s="1643"/>
      <c r="X105" s="1373"/>
      <c r="Y105" s="1373"/>
      <c r="Z105" s="551"/>
      <c r="AA105" s="1373"/>
      <c r="AB105" s="1373"/>
      <c r="AC105" s="1373"/>
      <c r="AD105" s="1373"/>
      <c r="AE105" s="1373"/>
      <c r="AF105" s="1639"/>
      <c r="AG105" s="629"/>
      <c r="AH105" s="629"/>
      <c r="AI105" s="629"/>
      <c r="AJ105" s="629"/>
      <c r="AK105" s="1648">
        <v>11</v>
      </c>
    </row>
    <row s="1648" customFormat="1" customHeight="1" ht="11.549999999999999">
      <c r="A106" s="994"/>
      <c r="B106" s="994"/>
      <c r="C106" s="994"/>
      <c r="D106" s="994"/>
      <c r="E106" s="994"/>
      <c r="F106" s="1643"/>
      <c r="G106" s="1643"/>
      <c r="H106" s="358"/>
      <c r="N106" s="1373"/>
      <c r="P106" s="1373"/>
      <c r="Q106" s="1643"/>
      <c r="R106" s="1643"/>
      <c r="S106" s="1373"/>
      <c r="T106" s="1373"/>
      <c r="U106" s="1373"/>
      <c r="V106" s="1373"/>
      <c r="W106" s="1643"/>
      <c r="X106" s="1373"/>
      <c r="Y106" s="1373"/>
      <c r="Z106" s="551"/>
      <c r="AA106" s="1373"/>
      <c r="AB106" s="1373"/>
      <c r="AC106" s="1373"/>
      <c r="AD106" s="1373"/>
      <c r="AE106" s="1373"/>
      <c r="AF106" s="1639"/>
      <c r="AG106" s="629"/>
      <c r="AH106" s="629"/>
      <c r="AI106" s="629"/>
      <c r="AJ106" s="629"/>
      <c r="AK106" s="1648">
        <v>11</v>
      </c>
    </row>
    <row s="1648" customFormat="1" customHeight="1" ht="11.549999999999999">
      <c r="A107" s="994"/>
      <c r="B107" s="994"/>
      <c r="C107" s="994"/>
      <c r="D107" s="994"/>
      <c r="E107" s="994"/>
      <c r="F107" s="1643"/>
      <c r="G107" s="1643"/>
      <c r="H107" s="358"/>
      <c r="N107" s="1373"/>
      <c r="P107" s="1373"/>
      <c r="Q107" s="1643"/>
      <c r="R107" s="1643"/>
      <c r="S107" s="1373"/>
      <c r="T107" s="1373"/>
      <c r="U107" s="1373"/>
      <c r="V107" s="1373"/>
      <c r="W107" s="1643"/>
      <c r="X107" s="1373"/>
      <c r="Y107" s="1373"/>
      <c r="Z107" s="551"/>
      <c r="AA107" s="1373"/>
      <c r="AB107" s="1373"/>
      <c r="AC107" s="1373"/>
      <c r="AD107" s="1373"/>
      <c r="AE107" s="1373"/>
      <c r="AF107" s="1639"/>
      <c r="AG107" s="629"/>
      <c r="AH107" s="629"/>
      <c r="AI107" s="629"/>
      <c r="AJ107" s="629"/>
      <c r="AK107" s="1648">
        <v>11</v>
      </c>
    </row>
    <row s="1648" customFormat="1" customHeight="1" ht="11.549999999999999">
      <c r="A108" s="994"/>
      <c r="B108" s="994"/>
      <c r="C108" s="994"/>
      <c r="D108" s="994"/>
      <c r="E108" s="994"/>
      <c r="F108" s="1643"/>
      <c r="G108" s="1643"/>
      <c r="H108" s="358"/>
      <c r="N108" s="1373"/>
      <c r="P108" s="1373"/>
      <c r="Q108" s="1643"/>
      <c r="R108" s="1643"/>
      <c r="S108" s="1373"/>
      <c r="T108" s="1373"/>
      <c r="U108" s="1373"/>
      <c r="V108" s="1373"/>
      <c r="W108" s="1643"/>
      <c r="X108" s="1373"/>
      <c r="Y108" s="1373"/>
      <c r="Z108" s="551"/>
      <c r="AA108" s="1373"/>
      <c r="AB108" s="1373"/>
      <c r="AC108" s="1373"/>
      <c r="AD108" s="1373"/>
      <c r="AE108" s="1373"/>
      <c r="AF108" s="1639"/>
      <c r="AG108" s="629"/>
      <c r="AH108" s="629"/>
      <c r="AI108" s="629"/>
      <c r="AJ108" s="629"/>
      <c r="AK108" s="1648">
        <v>11</v>
      </c>
    </row>
    <row s="1648" customFormat="1" customHeight="1" ht="11.549999999999999">
      <c r="A109" s="994"/>
      <c r="B109" s="994"/>
      <c r="C109" s="994"/>
      <c r="D109" s="994"/>
      <c r="E109" s="994"/>
      <c r="F109" s="1643"/>
      <c r="G109" s="1643"/>
      <c r="H109" s="358"/>
      <c r="N109" s="1373"/>
      <c r="P109" s="1373"/>
      <c r="Q109" s="1643"/>
      <c r="R109" s="1643"/>
      <c r="S109" s="1373"/>
      <c r="T109" s="1373"/>
      <c r="U109" s="1373"/>
      <c r="V109" s="1373"/>
      <c r="W109" s="1643"/>
      <c r="X109" s="1373"/>
      <c r="Y109" s="1373"/>
      <c r="Z109" s="551"/>
      <c r="AA109" s="1373"/>
      <c r="AB109" s="1373"/>
      <c r="AC109" s="1373"/>
      <c r="AD109" s="1373"/>
      <c r="AE109" s="1373"/>
      <c r="AF109" s="1639"/>
      <c r="AG109" s="629"/>
      <c r="AH109" s="629"/>
      <c r="AI109" s="629"/>
      <c r="AJ109" s="629"/>
      <c r="AK109" s="1648">
        <v>11</v>
      </c>
    </row>
    <row s="1648" customFormat="1" customHeight="1" ht="11.549999999999999">
      <c r="A110" s="994"/>
      <c r="B110" s="994"/>
      <c r="C110" s="994"/>
      <c r="D110" s="994"/>
      <c r="E110" s="994"/>
      <c r="F110" s="1643"/>
      <c r="G110" s="1643"/>
      <c r="H110" s="358"/>
      <c r="N110" s="1373"/>
      <c r="P110" s="1373"/>
      <c r="Q110" s="1643"/>
      <c r="R110" s="1643"/>
      <c r="S110" s="1373"/>
      <c r="T110" s="1373"/>
      <c r="U110" s="1373"/>
      <c r="V110" s="1373"/>
      <c r="W110" s="1643"/>
      <c r="X110" s="1373"/>
      <c r="Y110" s="1373"/>
      <c r="Z110" s="551"/>
      <c r="AA110" s="1373"/>
      <c r="AB110" s="1373"/>
      <c r="AC110" s="1373"/>
      <c r="AD110" s="1373"/>
      <c r="AE110" s="1373"/>
      <c r="AF110" s="1639"/>
      <c r="AG110" s="629"/>
      <c r="AH110" s="629"/>
      <c r="AI110" s="629"/>
      <c r="AJ110" s="629"/>
      <c r="AK110" s="1648">
        <v>11</v>
      </c>
    </row>
    <row s="1648" customFormat="1" customHeight="1" ht="11.549999999999999">
      <c r="A111" s="994"/>
      <c r="B111" s="994"/>
      <c r="C111" s="994"/>
      <c r="D111" s="994"/>
      <c r="E111" s="994"/>
      <c r="F111" s="1643"/>
      <c r="G111" s="1643"/>
      <c r="H111" s="358"/>
      <c r="N111" s="1373"/>
      <c r="P111" s="1373"/>
      <c r="Q111" s="1643"/>
      <c r="R111" s="1643"/>
      <c r="S111" s="1373"/>
      <c r="T111" s="1373"/>
      <c r="U111" s="1373"/>
      <c r="V111" s="1373"/>
      <c r="W111" s="1643"/>
      <c r="X111" s="1373"/>
      <c r="Y111" s="1373"/>
      <c r="Z111" s="551"/>
      <c r="AA111" s="1373"/>
      <c r="AB111" s="1373"/>
      <c r="AC111" s="1373"/>
      <c r="AD111" s="1373"/>
      <c r="AE111" s="1373"/>
      <c r="AF111" s="1639"/>
      <c r="AG111" s="629"/>
      <c r="AH111" s="629"/>
      <c r="AI111" s="629"/>
      <c r="AJ111" s="629"/>
      <c r="AK111" s="1648">
        <v>11</v>
      </c>
    </row>
    <row s="1648" customFormat="1" customHeight="1" ht="11.549999999999999">
      <c r="A112" s="994"/>
      <c r="B112" s="994"/>
      <c r="C112" s="994"/>
      <c r="D112" s="994"/>
      <c r="E112" s="994"/>
      <c r="F112" s="1643"/>
      <c r="G112" s="1643"/>
      <c r="H112" s="358"/>
      <c r="N112" s="1373"/>
      <c r="P112" s="1373"/>
      <c r="Q112" s="1643"/>
      <c r="R112" s="1643"/>
      <c r="S112" s="1373"/>
      <c r="T112" s="1373"/>
      <c r="U112" s="1373"/>
      <c r="V112" s="1373"/>
      <c r="W112" s="1643"/>
      <c r="X112" s="1373"/>
      <c r="Y112" s="1373"/>
      <c r="Z112" s="551"/>
      <c r="AA112" s="1373"/>
      <c r="AB112" s="1373"/>
      <c r="AC112" s="1373"/>
      <c r="AD112" s="1373"/>
      <c r="AE112" s="1373"/>
      <c r="AF112" s="1639"/>
      <c r="AG112" s="629"/>
      <c r="AH112" s="629"/>
      <c r="AI112" s="629"/>
      <c r="AJ112" s="629"/>
      <c r="AK112" s="1648">
        <v>11</v>
      </c>
    </row>
    <row s="1648" customFormat="1" customHeight="1" ht="11.549999999999999">
      <c r="A113" s="994"/>
      <c r="B113" s="994"/>
      <c r="C113" s="994"/>
      <c r="D113" s="994"/>
      <c r="E113" s="994"/>
      <c r="F113" s="1643"/>
      <c r="G113" s="1643"/>
      <c r="H113" s="358"/>
      <c r="N113" s="1373"/>
      <c r="P113" s="1373"/>
      <c r="Q113" s="1643"/>
      <c r="R113" s="1643"/>
      <c r="S113" s="1373"/>
      <c r="T113" s="1373"/>
      <c r="U113" s="1373"/>
      <c r="V113" s="1373"/>
      <c r="W113" s="1643"/>
      <c r="X113" s="1373"/>
      <c r="Y113" s="1373"/>
      <c r="Z113" s="551"/>
      <c r="AA113" s="1373"/>
      <c r="AB113" s="1373"/>
      <c r="AC113" s="1373"/>
      <c r="AD113" s="1373"/>
      <c r="AE113" s="1373"/>
      <c r="AF113" s="1639"/>
      <c r="AG113" s="629"/>
      <c r="AH113" s="629"/>
      <c r="AI113" s="629"/>
      <c r="AJ113" s="629"/>
      <c r="AK113" s="1648">
        <v>11</v>
      </c>
    </row>
    <row s="1648" customFormat="1" customHeight="1" ht="11.549999999999999">
      <c r="A114" s="994"/>
      <c r="B114" s="994"/>
      <c r="C114" s="994"/>
      <c r="D114" s="994"/>
      <c r="E114" s="994"/>
      <c r="F114" s="1643"/>
      <c r="G114" s="1643"/>
      <c r="H114" s="358"/>
      <c r="N114" s="1373"/>
      <c r="P114" s="1373"/>
      <c r="Q114" s="1643"/>
      <c r="R114" s="1643"/>
      <c r="S114" s="1373"/>
      <c r="T114" s="1373"/>
      <c r="U114" s="1373"/>
      <c r="V114" s="1373"/>
      <c r="W114" s="1643"/>
      <c r="X114" s="1373"/>
      <c r="Y114" s="1373"/>
      <c r="Z114" s="551"/>
      <c r="AA114" s="1373"/>
      <c r="AB114" s="1373"/>
      <c r="AC114" s="1373"/>
      <c r="AD114" s="1373"/>
      <c r="AE114" s="1373"/>
      <c r="AF114" s="1639"/>
      <c r="AG114" s="629"/>
      <c r="AH114" s="629"/>
      <c r="AI114" s="629"/>
      <c r="AJ114" s="629"/>
      <c r="AK114" s="1648">
        <v>11</v>
      </c>
    </row>
    <row s="1648" customFormat="1" customHeight="1" ht="11.549999999999999">
      <c r="A115" s="994"/>
      <c r="B115" s="994"/>
      <c r="C115" s="994"/>
      <c r="D115" s="994"/>
      <c r="E115" s="994"/>
      <c r="F115" s="1643"/>
      <c r="G115" s="1643"/>
      <c r="H115" s="358"/>
      <c r="N115" s="1373"/>
      <c r="P115" s="1373"/>
      <c r="Q115" s="1643"/>
      <c r="R115" s="1643"/>
      <c r="S115" s="1373"/>
      <c r="T115" s="1373"/>
      <c r="U115" s="1373"/>
      <c r="V115" s="1373"/>
      <c r="W115" s="1643"/>
      <c r="X115" s="1373"/>
      <c r="Y115" s="1373"/>
      <c r="Z115" s="551"/>
      <c r="AA115" s="1373"/>
      <c r="AB115" s="1373"/>
      <c r="AC115" s="1373"/>
      <c r="AD115" s="1373"/>
      <c r="AE115" s="1373"/>
      <c r="AF115" s="1639"/>
      <c r="AG115" s="629"/>
      <c r="AH115" s="629"/>
      <c r="AI115" s="629"/>
      <c r="AJ115" s="629"/>
      <c r="AK115" s="1648">
        <v>11</v>
      </c>
    </row>
    <row s="1648" customFormat="1" customHeight="1" ht="11.549999999999999">
      <c r="A116" s="994"/>
      <c r="B116" s="994"/>
      <c r="C116" s="994"/>
      <c r="D116" s="994"/>
      <c r="E116" s="994"/>
      <c r="F116" s="1643"/>
      <c r="G116" s="1643"/>
      <c r="H116" s="358"/>
      <c r="N116" s="1373"/>
      <c r="P116" s="1373"/>
      <c r="Q116" s="1643"/>
      <c r="R116" s="1643"/>
      <c r="S116" s="1373"/>
      <c r="T116" s="1373"/>
      <c r="U116" s="1373"/>
      <c r="V116" s="1373"/>
      <c r="W116" s="1643"/>
      <c r="X116" s="1373"/>
      <c r="Y116" s="1373"/>
      <c r="Z116" s="551"/>
      <c r="AA116" s="1373"/>
      <c r="AB116" s="1373"/>
      <c r="AC116" s="1373"/>
      <c r="AD116" s="1373"/>
      <c r="AE116" s="1373"/>
      <c r="AF116" s="1639"/>
      <c r="AG116" s="629"/>
      <c r="AH116" s="629"/>
      <c r="AI116" s="629"/>
      <c r="AJ116" s="629"/>
      <c r="AK116" s="1648">
        <v>11</v>
      </c>
    </row>
    <row s="1648" customFormat="1" customHeight="1" ht="11.549999999999999">
      <c r="A117" s="994"/>
      <c r="B117" s="994"/>
      <c r="C117" s="994"/>
      <c r="D117" s="994"/>
      <c r="E117" s="994"/>
      <c r="F117" s="1643"/>
      <c r="G117" s="1643"/>
      <c r="H117" s="358"/>
      <c r="N117" s="1373"/>
      <c r="P117" s="1373"/>
      <c r="Q117" s="1643"/>
      <c r="R117" s="1643"/>
      <c r="S117" s="1373"/>
      <c r="T117" s="1373"/>
      <c r="U117" s="1373"/>
      <c r="V117" s="1373"/>
      <c r="W117" s="1643"/>
      <c r="X117" s="1373"/>
      <c r="Y117" s="1373"/>
      <c r="Z117" s="551"/>
      <c r="AA117" s="1373"/>
      <c r="AB117" s="1373"/>
      <c r="AC117" s="1373"/>
      <c r="AD117" s="1373"/>
      <c r="AE117" s="1373"/>
      <c r="AF117" s="1639"/>
      <c r="AG117" s="629"/>
      <c r="AH117" s="629"/>
      <c r="AI117" s="629"/>
      <c r="AJ117" s="629"/>
      <c r="AK117" s="1648">
        <v>11</v>
      </c>
    </row>
    <row s="1648" customFormat="1" customHeight="1" ht="11.549999999999999">
      <c r="A118" s="994"/>
      <c r="B118" s="994"/>
      <c r="C118" s="994"/>
      <c r="D118" s="994"/>
      <c r="E118" s="994"/>
      <c r="F118" s="1643"/>
      <c r="G118" s="1643"/>
      <c r="H118" s="358"/>
      <c r="N118" s="1373"/>
      <c r="P118" s="1373"/>
      <c r="Q118" s="1643"/>
      <c r="R118" s="1643"/>
      <c r="S118" s="1373"/>
      <c r="T118" s="1373"/>
      <c r="U118" s="1373"/>
      <c r="V118" s="1373"/>
      <c r="W118" s="1643"/>
      <c r="X118" s="1373"/>
      <c r="Y118" s="1373"/>
      <c r="Z118" s="551"/>
      <c r="AA118" s="1373"/>
      <c r="AB118" s="1373"/>
      <c r="AC118" s="1373"/>
      <c r="AD118" s="1373"/>
      <c r="AE118" s="1373"/>
      <c r="AF118" s="1639"/>
      <c r="AG118" s="629"/>
      <c r="AH118" s="629"/>
      <c r="AI118" s="629"/>
      <c r="AJ118" s="629"/>
      <c r="AK118" s="1648">
        <v>11</v>
      </c>
    </row>
    <row s="1648" customFormat="1" customHeight="1" ht="11.549999999999999">
      <c r="A119" s="994"/>
      <c r="B119" s="994"/>
      <c r="C119" s="994"/>
      <c r="D119" s="994"/>
      <c r="E119" s="994"/>
      <c r="F119" s="1643"/>
      <c r="G119" s="1643"/>
      <c r="H119" s="358"/>
      <c r="N119" s="1373"/>
      <c r="P119" s="1373"/>
      <c r="Q119" s="1643"/>
      <c r="R119" s="1643"/>
      <c r="S119" s="1373"/>
      <c r="T119" s="1373"/>
      <c r="U119" s="1373"/>
      <c r="V119" s="1373"/>
      <c r="W119" s="1643"/>
      <c r="X119" s="1373"/>
      <c r="Y119" s="1373"/>
      <c r="Z119" s="551"/>
      <c r="AA119" s="1373"/>
      <c r="AB119" s="1373"/>
      <c r="AC119" s="1373"/>
      <c r="AD119" s="1373"/>
      <c r="AE119" s="1373"/>
      <c r="AF119" s="1639"/>
      <c r="AG119" s="629"/>
      <c r="AH119" s="629"/>
      <c r="AI119" s="629"/>
      <c r="AJ119" s="629"/>
      <c r="AK119" s="1648">
        <v>11</v>
      </c>
    </row>
    <row s="1648" customFormat="1" customHeight="1" ht="11.549999999999999">
      <c r="A120" s="994"/>
      <c r="B120" s="994"/>
      <c r="C120" s="994"/>
      <c r="D120" s="994"/>
      <c r="E120" s="994"/>
      <c r="F120" s="1643"/>
      <c r="G120" s="1643"/>
      <c r="H120" s="358"/>
      <c r="N120" s="1373"/>
      <c r="P120" s="1373"/>
      <c r="Q120" s="1643"/>
      <c r="R120" s="1643"/>
      <c r="S120" s="1373"/>
      <c r="T120" s="1373"/>
      <c r="U120" s="1373"/>
      <c r="V120" s="1373"/>
      <c r="W120" s="1643"/>
      <c r="X120" s="1373"/>
      <c r="Y120" s="1373"/>
      <c r="Z120" s="551"/>
      <c r="AA120" s="1373"/>
      <c r="AB120" s="1373"/>
      <c r="AC120" s="1373"/>
      <c r="AD120" s="1373"/>
      <c r="AE120" s="1373"/>
      <c r="AF120" s="1639"/>
      <c r="AG120" s="629"/>
      <c r="AH120" s="629"/>
      <c r="AI120" s="629"/>
      <c r="AJ120" s="629"/>
      <c r="AK120" s="1648">
        <v>11</v>
      </c>
    </row>
    <row s="1648" customFormat="1" customHeight="1" ht="11.549999999999999">
      <c r="A121" s="994"/>
      <c r="B121" s="994"/>
      <c r="C121" s="994"/>
      <c r="D121" s="994"/>
      <c r="E121" s="994"/>
      <c r="F121" s="1643"/>
      <c r="G121" s="1643"/>
      <c r="H121" s="358"/>
      <c r="N121" s="1373"/>
      <c r="P121" s="1373"/>
      <c r="Q121" s="1643"/>
      <c r="R121" s="1643"/>
      <c r="S121" s="1373"/>
      <c r="T121" s="1373"/>
      <c r="U121" s="1373"/>
      <c r="V121" s="1373"/>
      <c r="W121" s="1643"/>
      <c r="X121" s="1373"/>
      <c r="Y121" s="1373"/>
      <c r="Z121" s="551"/>
      <c r="AA121" s="1373"/>
      <c r="AB121" s="1373"/>
      <c r="AC121" s="1373"/>
      <c r="AD121" s="1373"/>
      <c r="AE121" s="1373"/>
      <c r="AF121" s="1639"/>
      <c r="AG121" s="629"/>
      <c r="AH121" s="629"/>
      <c r="AI121" s="629"/>
      <c r="AJ121" s="629"/>
      <c r="AK121" s="1648">
        <v>11</v>
      </c>
    </row>
    <row s="1648" customFormat="1" customHeight="1" ht="11.549999999999999">
      <c r="A122" s="994"/>
      <c r="B122" s="994"/>
      <c r="C122" s="994"/>
      <c r="D122" s="994"/>
      <c r="E122" s="994"/>
      <c r="F122" s="1643"/>
      <c r="G122" s="1643"/>
      <c r="H122" s="358"/>
      <c r="N122" s="1373"/>
      <c r="P122" s="1373"/>
      <c r="Q122" s="1643"/>
      <c r="R122" s="1643"/>
      <c r="S122" s="1373"/>
      <c r="T122" s="1373"/>
      <c r="U122" s="1373"/>
      <c r="V122" s="1373"/>
      <c r="W122" s="1643"/>
      <c r="X122" s="1373"/>
      <c r="Y122" s="1373"/>
      <c r="Z122" s="551"/>
      <c r="AA122" s="1373"/>
      <c r="AB122" s="1373"/>
      <c r="AC122" s="1373"/>
      <c r="AD122" s="1373"/>
      <c r="AE122" s="1373"/>
      <c r="AF122" s="1639"/>
      <c r="AG122" s="629"/>
      <c r="AH122" s="629"/>
      <c r="AI122" s="629"/>
      <c r="AJ122" s="629"/>
      <c r="AK122" s="1648">
        <v>11</v>
      </c>
    </row>
    <row s="1648" customFormat="1" customHeight="1" ht="11.549999999999999">
      <c r="A123" s="994"/>
      <c r="B123" s="994"/>
      <c r="C123" s="994"/>
      <c r="D123" s="994"/>
      <c r="E123" s="994"/>
      <c r="F123" s="1643"/>
      <c r="G123" s="1643"/>
      <c r="H123" s="358"/>
      <c r="N123" s="1373"/>
      <c r="P123" s="1373"/>
      <c r="Q123" s="1643"/>
      <c r="R123" s="1643"/>
      <c r="S123" s="1373"/>
      <c r="T123" s="1373"/>
      <c r="U123" s="1373"/>
      <c r="V123" s="1373"/>
      <c r="W123" s="1643"/>
      <c r="X123" s="1373"/>
      <c r="Y123" s="1373"/>
      <c r="Z123" s="551"/>
      <c r="AA123" s="1373"/>
      <c r="AB123" s="1373"/>
      <c r="AC123" s="1373"/>
      <c r="AD123" s="1373"/>
      <c r="AE123" s="1373"/>
      <c r="AF123" s="1639"/>
      <c r="AG123" s="629"/>
      <c r="AH123" s="629"/>
      <c r="AI123" s="629"/>
      <c r="AJ123" s="629"/>
      <c r="AK123" s="1648">
        <v>11</v>
      </c>
    </row>
    <row s="1648" customFormat="1" customHeight="1" ht="11.549999999999999">
      <c r="A124" s="994"/>
      <c r="B124" s="994"/>
      <c r="C124" s="994"/>
      <c r="D124" s="994"/>
      <c r="E124" s="994"/>
      <c r="F124" s="1643"/>
      <c r="G124" s="1643"/>
      <c r="H124" s="358"/>
      <c r="N124" s="1373"/>
      <c r="P124" s="1373"/>
      <c r="Q124" s="1643"/>
      <c r="R124" s="1643"/>
      <c r="S124" s="1373"/>
      <c r="T124" s="1373"/>
      <c r="U124" s="1373"/>
      <c r="V124" s="1373"/>
      <c r="W124" s="1643"/>
      <c r="X124" s="1373"/>
      <c r="Y124" s="1373"/>
      <c r="Z124" s="551"/>
      <c r="AA124" s="1373"/>
      <c r="AB124" s="1373"/>
      <c r="AC124" s="1373"/>
      <c r="AD124" s="1373"/>
      <c r="AE124" s="1373"/>
      <c r="AF124" s="1639"/>
      <c r="AG124" s="629"/>
      <c r="AH124" s="629"/>
      <c r="AI124" s="629"/>
      <c r="AJ124" s="629"/>
      <c r="AK124" s="1648">
        <v>11</v>
      </c>
    </row>
    <row s="1648" customFormat="1" customHeight="1" ht="11.549999999999999">
      <c r="A125" s="994"/>
      <c r="B125" s="994"/>
      <c r="C125" s="994"/>
      <c r="D125" s="994"/>
      <c r="E125" s="994"/>
      <c r="F125" s="1643"/>
      <c r="G125" s="1643"/>
      <c r="H125" s="358"/>
      <c r="N125" s="1373"/>
      <c r="P125" s="1373"/>
      <c r="Q125" s="1643"/>
      <c r="R125" s="1643"/>
      <c r="S125" s="1373"/>
      <c r="T125" s="1373"/>
      <c r="U125" s="1373"/>
      <c r="V125" s="1373"/>
      <c r="W125" s="1643"/>
      <c r="X125" s="1373"/>
      <c r="Y125" s="1373"/>
      <c r="Z125" s="551"/>
      <c r="AA125" s="1373"/>
      <c r="AB125" s="1373"/>
      <c r="AC125" s="1373"/>
      <c r="AD125" s="1373"/>
      <c r="AE125" s="1373"/>
      <c r="AF125" s="1639"/>
      <c r="AG125" s="629"/>
      <c r="AH125" s="629"/>
      <c r="AI125" s="629"/>
      <c r="AJ125" s="629"/>
      <c r="AK125" s="1648">
        <v>11</v>
      </c>
    </row>
    <row s="1648" customFormat="1" customHeight="1" ht="11.549999999999999">
      <c r="A126" s="994"/>
      <c r="B126" s="994"/>
      <c r="C126" s="994"/>
      <c r="D126" s="994"/>
      <c r="E126" s="994"/>
      <c r="F126" s="1643"/>
      <c r="G126" s="1643"/>
      <c r="H126" s="358"/>
      <c r="N126" s="1373"/>
      <c r="P126" s="1373"/>
      <c r="Q126" s="1643"/>
      <c r="R126" s="1643"/>
      <c r="S126" s="1373"/>
      <c r="T126" s="1373"/>
      <c r="U126" s="1373"/>
      <c r="V126" s="1373"/>
      <c r="W126" s="1643"/>
      <c r="X126" s="1373"/>
      <c r="Y126" s="1373"/>
      <c r="Z126" s="551"/>
      <c r="AA126" s="1373"/>
      <c r="AB126" s="1373"/>
      <c r="AC126" s="1373"/>
      <c r="AD126" s="1373"/>
      <c r="AE126" s="1373"/>
      <c r="AF126" s="1639"/>
      <c r="AG126" s="629"/>
      <c r="AH126" s="629"/>
      <c r="AI126" s="629"/>
      <c r="AJ126" s="629"/>
      <c r="AK126" s="1648">
        <v>11</v>
      </c>
    </row>
    <row s="1648" customFormat="1" customHeight="1" ht="11.549999999999999">
      <c r="A127" s="994"/>
      <c r="B127" s="994"/>
      <c r="C127" s="994"/>
      <c r="D127" s="994"/>
      <c r="E127" s="994"/>
      <c r="F127" s="1643"/>
      <c r="G127" s="1643"/>
      <c r="H127" s="358"/>
      <c r="N127" s="1373"/>
      <c r="P127" s="1373"/>
      <c r="Q127" s="1643"/>
      <c r="R127" s="1643"/>
      <c r="S127" s="1373"/>
      <c r="T127" s="1373"/>
      <c r="U127" s="1373"/>
      <c r="V127" s="1373"/>
      <c r="W127" s="1643"/>
      <c r="X127" s="1373"/>
      <c r="Y127" s="1373"/>
      <c r="Z127" s="551"/>
      <c r="AA127" s="1373"/>
      <c r="AB127" s="1373"/>
      <c r="AC127" s="1373"/>
      <c r="AD127" s="1373"/>
      <c r="AE127" s="1373"/>
      <c r="AF127" s="1639"/>
      <c r="AG127" s="629"/>
      <c r="AH127" s="629"/>
      <c r="AI127" s="629"/>
      <c r="AJ127" s="629"/>
      <c r="AK127" s="1648">
        <v>11</v>
      </c>
    </row>
    <row s="1648" customFormat="1" customHeight="1" ht="11.549999999999999">
      <c r="A128" s="994"/>
      <c r="B128" s="994"/>
      <c r="C128" s="994"/>
      <c r="D128" s="994"/>
      <c r="E128" s="994"/>
      <c r="F128" s="1643"/>
      <c r="G128" s="1643"/>
      <c r="H128" s="358"/>
      <c r="N128" s="1373"/>
      <c r="P128" s="1373"/>
      <c r="Q128" s="1643"/>
      <c r="R128" s="1643"/>
      <c r="S128" s="1373"/>
      <c r="T128" s="1373"/>
      <c r="U128" s="1373"/>
      <c r="V128" s="1373"/>
      <c r="W128" s="1643"/>
      <c r="X128" s="1373"/>
      <c r="Y128" s="1373"/>
      <c r="Z128" s="551"/>
      <c r="AA128" s="1373"/>
      <c r="AB128" s="1373"/>
      <c r="AC128" s="1373"/>
      <c r="AD128" s="1373"/>
      <c r="AE128" s="1373"/>
      <c r="AF128" s="1639"/>
      <c r="AG128" s="629"/>
      <c r="AH128" s="629"/>
      <c r="AI128" s="629"/>
      <c r="AJ128" s="629"/>
      <c r="AK128" s="1648">
        <v>11</v>
      </c>
    </row>
    <row s="1648" customFormat="1" customHeight="1" ht="11.549999999999999">
      <c r="A129" s="994"/>
      <c r="B129" s="994"/>
      <c r="C129" s="994"/>
      <c r="D129" s="994"/>
      <c r="E129" s="994"/>
      <c r="F129" s="1643"/>
      <c r="G129" s="1643"/>
      <c r="H129" s="358"/>
      <c r="N129" s="1373"/>
      <c r="P129" s="1373"/>
      <c r="Q129" s="1643"/>
      <c r="R129" s="1643"/>
      <c r="S129" s="1373"/>
      <c r="T129" s="1373"/>
      <c r="U129" s="1373"/>
      <c r="V129" s="1373"/>
      <c r="W129" s="1643"/>
      <c r="X129" s="1373"/>
      <c r="Y129" s="1373"/>
      <c r="Z129" s="551"/>
      <c r="AA129" s="1373"/>
      <c r="AB129" s="1373"/>
      <c r="AC129" s="1373"/>
      <c r="AD129" s="1373"/>
      <c r="AE129" s="1373"/>
      <c r="AF129" s="1639"/>
      <c r="AG129" s="629"/>
      <c r="AH129" s="629"/>
      <c r="AI129" s="629"/>
      <c r="AJ129" s="629"/>
      <c r="AK129" s="1648">
        <v>11</v>
      </c>
    </row>
    <row s="1648" customFormat="1" customHeight="1" ht="11.549999999999999">
      <c r="A130" s="994"/>
      <c r="B130" s="994"/>
      <c r="C130" s="994"/>
      <c r="D130" s="994"/>
      <c r="E130" s="994"/>
      <c r="F130" s="1643"/>
      <c r="G130" s="1643"/>
      <c r="H130" s="358"/>
      <c r="N130" s="1373"/>
      <c r="P130" s="1373"/>
      <c r="Q130" s="1643"/>
      <c r="R130" s="1643"/>
      <c r="S130" s="1373"/>
      <c r="T130" s="1373"/>
      <c r="U130" s="1373"/>
      <c r="V130" s="1373"/>
      <c r="W130" s="1643"/>
      <c r="X130" s="1373"/>
      <c r="Y130" s="1373"/>
      <c r="Z130" s="551"/>
      <c r="AA130" s="1373"/>
      <c r="AB130" s="1373"/>
      <c r="AC130" s="1373"/>
      <c r="AD130" s="1373"/>
      <c r="AE130" s="1373"/>
      <c r="AF130" s="1639"/>
      <c r="AG130" s="629"/>
      <c r="AH130" s="629"/>
      <c r="AI130" s="629"/>
      <c r="AJ130" s="629"/>
      <c r="AK130" s="1648">
        <v>11</v>
      </c>
    </row>
    <row s="1648" customFormat="1" customHeight="1" ht="11.549999999999999">
      <c r="A131" s="994"/>
      <c r="B131" s="994"/>
      <c r="C131" s="994"/>
      <c r="D131" s="994"/>
      <c r="E131" s="994"/>
      <c r="F131" s="1643"/>
      <c r="G131" s="1643"/>
      <c r="H131" s="358"/>
      <c r="N131" s="1373"/>
      <c r="P131" s="1373"/>
      <c r="Q131" s="1643"/>
      <c r="R131" s="1643"/>
      <c r="S131" s="1373"/>
      <c r="T131" s="1373"/>
      <c r="U131" s="1373"/>
      <c r="V131" s="1373"/>
      <c r="W131" s="1643"/>
      <c r="X131" s="1373"/>
      <c r="Y131" s="1373"/>
      <c r="Z131" s="551"/>
      <c r="AA131" s="1373"/>
      <c r="AB131" s="1373"/>
      <c r="AC131" s="1373"/>
      <c r="AD131" s="1373"/>
      <c r="AE131" s="1373"/>
      <c r="AF131" s="1639"/>
      <c r="AG131" s="629"/>
      <c r="AH131" s="629"/>
      <c r="AI131" s="629"/>
      <c r="AJ131" s="629"/>
      <c r="AK131" s="1648">
        <v>11</v>
      </c>
    </row>
    <row s="1648" customFormat="1" customHeight="1" ht="11.549999999999999">
      <c r="A132" s="994"/>
      <c r="B132" s="994"/>
      <c r="C132" s="994"/>
      <c r="D132" s="994"/>
      <c r="E132" s="994"/>
      <c r="F132" s="1643"/>
      <c r="G132" s="1643"/>
      <c r="H132" s="358"/>
      <c r="N132" s="1373"/>
      <c r="P132" s="1373"/>
      <c r="Q132" s="1643"/>
      <c r="R132" s="1643"/>
      <c r="S132" s="1373"/>
      <c r="T132" s="1373"/>
      <c r="U132" s="1373"/>
      <c r="V132" s="1373"/>
      <c r="W132" s="1643"/>
      <c r="X132" s="1373"/>
      <c r="Y132" s="1373"/>
      <c r="Z132" s="551"/>
      <c r="AA132" s="1373"/>
      <c r="AB132" s="1373"/>
      <c r="AC132" s="1373"/>
      <c r="AD132" s="1373"/>
      <c r="AE132" s="1373"/>
      <c r="AF132" s="1639"/>
      <c r="AG132" s="629"/>
      <c r="AH132" s="629"/>
      <c r="AI132" s="629"/>
      <c r="AJ132" s="629"/>
      <c r="AK132" s="1648">
        <v>11</v>
      </c>
    </row>
    <row s="1648" customFormat="1" customHeight="1" ht="11.549999999999999">
      <c r="A133" s="994"/>
      <c r="B133" s="994"/>
      <c r="C133" s="994"/>
      <c r="D133" s="994"/>
      <c r="E133" s="994"/>
      <c r="F133" s="1643"/>
      <c r="G133" s="1643"/>
      <c r="H133" s="358"/>
      <c r="N133" s="1373"/>
      <c r="P133" s="1373"/>
      <c r="Q133" s="1643"/>
      <c r="R133" s="1643"/>
      <c r="S133" s="1373"/>
      <c r="T133" s="1373"/>
      <c r="U133" s="1373"/>
      <c r="V133" s="1373"/>
      <c r="W133" s="1643"/>
      <c r="X133" s="1373"/>
      <c r="Y133" s="1373"/>
      <c r="Z133" s="551"/>
      <c r="AA133" s="1373"/>
      <c r="AB133" s="1373"/>
      <c r="AC133" s="1373"/>
      <c r="AD133" s="1373"/>
      <c r="AE133" s="1373"/>
      <c r="AF133" s="1639"/>
      <c r="AG133" s="629"/>
      <c r="AH133" s="629"/>
      <c r="AI133" s="629"/>
      <c r="AJ133" s="629"/>
      <c r="AK133" s="1648">
        <v>11</v>
      </c>
    </row>
    <row s="1648" customFormat="1" customHeight="1" ht="11.549999999999999">
      <c r="A134" s="994"/>
      <c r="B134" s="994"/>
      <c r="C134" s="994"/>
      <c r="D134" s="994"/>
      <c r="E134" s="994"/>
      <c r="F134" s="1643"/>
      <c r="G134" s="1643"/>
      <c r="H134" s="358"/>
      <c r="N134" s="1373"/>
      <c r="P134" s="1373"/>
      <c r="Q134" s="1643"/>
      <c r="R134" s="1643"/>
      <c r="S134" s="1373"/>
      <c r="T134" s="1373"/>
      <c r="U134" s="1373"/>
      <c r="V134" s="1373"/>
      <c r="W134" s="1643"/>
      <c r="X134" s="1373"/>
      <c r="Y134" s="1373"/>
      <c r="Z134" s="551"/>
      <c r="AA134" s="1373"/>
      <c r="AB134" s="1373"/>
      <c r="AC134" s="1373"/>
      <c r="AD134" s="1373"/>
      <c r="AE134" s="1373"/>
      <c r="AF134" s="1639"/>
      <c r="AG134" s="629"/>
      <c r="AH134" s="629"/>
      <c r="AI134" s="629"/>
      <c r="AJ134" s="629"/>
      <c r="AK134" s="1648">
        <v>11</v>
      </c>
    </row>
    <row s="1648" customFormat="1" customHeight="1" ht="11.549999999999999">
      <c r="A135" s="994"/>
      <c r="B135" s="994"/>
      <c r="C135" s="994"/>
      <c r="D135" s="994"/>
      <c r="E135" s="994"/>
      <c r="F135" s="1643"/>
      <c r="G135" s="1643"/>
      <c r="H135" s="358"/>
      <c r="N135" s="1373"/>
      <c r="P135" s="1373"/>
      <c r="Q135" s="1643"/>
      <c r="R135" s="1643"/>
      <c r="S135" s="1373"/>
      <c r="T135" s="1373"/>
      <c r="U135" s="1373"/>
      <c r="V135" s="1373"/>
      <c r="W135" s="1643"/>
      <c r="X135" s="1373"/>
      <c r="Y135" s="1373"/>
      <c r="Z135" s="551"/>
      <c r="AA135" s="1373"/>
      <c r="AB135" s="1373"/>
      <c r="AC135" s="1373"/>
      <c r="AD135" s="1373"/>
      <c r="AE135" s="1373"/>
      <c r="AF135" s="1639"/>
      <c r="AG135" s="629"/>
      <c r="AH135" s="629"/>
      <c r="AI135" s="629"/>
      <c r="AJ135" s="629"/>
      <c r="AK135" s="1648">
        <v>11</v>
      </c>
    </row>
    <row s="1648" customFormat="1" customHeight="1" ht="11.549999999999999">
      <c r="A136" s="994"/>
      <c r="B136" s="994"/>
      <c r="C136" s="994"/>
      <c r="D136" s="994"/>
      <c r="E136" s="994"/>
      <c r="F136" s="1643"/>
      <c r="G136" s="1643"/>
      <c r="H136" s="358"/>
      <c r="N136" s="1373"/>
      <c r="P136" s="1373"/>
      <c r="Q136" s="1643"/>
      <c r="R136" s="1643"/>
      <c r="S136" s="1373"/>
      <c r="T136" s="1373"/>
      <c r="U136" s="1373"/>
      <c r="V136" s="1373"/>
      <c r="W136" s="1643"/>
      <c r="X136" s="1373"/>
      <c r="Y136" s="1373"/>
      <c r="Z136" s="551"/>
      <c r="AA136" s="1373"/>
      <c r="AB136" s="1373"/>
      <c r="AC136" s="1373"/>
      <c r="AD136" s="1373"/>
      <c r="AE136" s="1373"/>
      <c r="AF136" s="1639"/>
      <c r="AG136" s="629"/>
      <c r="AH136" s="629"/>
      <c r="AI136" s="629"/>
      <c r="AJ136" s="629"/>
      <c r="AK136" s="1648">
        <v>11</v>
      </c>
    </row>
    <row s="1648" customFormat="1" customHeight="1" ht="11.549999999999999">
      <c r="A137" s="994"/>
      <c r="B137" s="994"/>
      <c r="C137" s="994"/>
      <c r="D137" s="994"/>
      <c r="E137" s="994"/>
      <c r="F137" s="1643"/>
      <c r="G137" s="1643"/>
      <c r="H137" s="358"/>
      <c r="N137" s="1373"/>
      <c r="P137" s="1373"/>
      <c r="Q137" s="1643"/>
      <c r="R137" s="1643"/>
      <c r="S137" s="1373"/>
      <c r="T137" s="1373"/>
      <c r="U137" s="1373"/>
      <c r="V137" s="1373"/>
      <c r="W137" s="1643"/>
      <c r="X137" s="1373"/>
      <c r="Y137" s="1373"/>
      <c r="Z137" s="551"/>
      <c r="AA137" s="1373"/>
      <c r="AB137" s="1373"/>
      <c r="AC137" s="1373"/>
      <c r="AD137" s="1373"/>
      <c r="AE137" s="1373"/>
      <c r="AF137" s="1639"/>
      <c r="AG137" s="629"/>
      <c r="AH137" s="629"/>
      <c r="AI137" s="629"/>
      <c r="AJ137" s="629"/>
      <c r="AK137" s="1648">
        <v>11</v>
      </c>
    </row>
    <row s="1648" customFormat="1" customHeight="1" ht="11.549999999999999">
      <c r="A138" s="994"/>
      <c r="B138" s="994"/>
      <c r="C138" s="994"/>
      <c r="D138" s="994"/>
      <c r="E138" s="994"/>
      <c r="F138" s="1643"/>
      <c r="G138" s="1643"/>
      <c r="H138" s="358"/>
      <c r="N138" s="1373"/>
      <c r="P138" s="1373"/>
      <c r="Q138" s="1643"/>
      <c r="R138" s="1643"/>
      <c r="S138" s="1373"/>
      <c r="T138" s="1373"/>
      <c r="U138" s="1373"/>
      <c r="V138" s="1373"/>
      <c r="W138" s="1643"/>
      <c r="X138" s="1373"/>
      <c r="Y138" s="1373"/>
      <c r="Z138" s="551"/>
      <c r="AA138" s="1373"/>
      <c r="AB138" s="1373"/>
      <c r="AC138" s="1373"/>
      <c r="AD138" s="1373"/>
      <c r="AE138" s="1373"/>
      <c r="AF138" s="1639"/>
      <c r="AG138" s="629"/>
      <c r="AH138" s="629"/>
      <c r="AI138" s="629"/>
      <c r="AJ138" s="629"/>
      <c r="AK138" s="1648">
        <v>11</v>
      </c>
    </row>
    <row s="1648" customFormat="1" customHeight="1" ht="11.549999999999999">
      <c r="A139" s="994"/>
      <c r="B139" s="994"/>
      <c r="C139" s="994"/>
      <c r="D139" s="994"/>
      <c r="E139" s="994"/>
      <c r="F139" s="1643"/>
      <c r="G139" s="1643"/>
      <c r="H139" s="358"/>
      <c r="N139" s="1373"/>
      <c r="P139" s="1373"/>
      <c r="Q139" s="1643"/>
      <c r="R139" s="1643"/>
      <c r="S139" s="1373"/>
      <c r="T139" s="1373"/>
      <c r="U139" s="1373"/>
      <c r="V139" s="1373"/>
      <c r="W139" s="1643"/>
      <c r="X139" s="1373"/>
      <c r="Y139" s="1373"/>
      <c r="Z139" s="551"/>
      <c r="AA139" s="1373"/>
      <c r="AB139" s="1373"/>
      <c r="AC139" s="1373"/>
      <c r="AD139" s="1373"/>
      <c r="AE139" s="1373"/>
      <c r="AF139" s="1639"/>
      <c r="AG139" s="629"/>
      <c r="AH139" s="629"/>
      <c r="AI139" s="629"/>
      <c r="AJ139" s="629"/>
      <c r="AK139" s="1648">
        <v>11</v>
      </c>
    </row>
    <row s="1648" customFormat="1" customHeight="1" ht="11.549999999999999">
      <c r="A140" s="994"/>
      <c r="B140" s="994"/>
      <c r="C140" s="994"/>
      <c r="D140" s="994"/>
      <c r="E140" s="994"/>
      <c r="F140" s="1643"/>
      <c r="G140" s="1643"/>
      <c r="H140" s="358"/>
      <c r="N140" s="1373"/>
      <c r="P140" s="1373"/>
      <c r="Q140" s="1643"/>
      <c r="R140" s="1643"/>
      <c r="S140" s="1373"/>
      <c r="T140" s="1373"/>
      <c r="U140" s="1373"/>
      <c r="V140" s="1373"/>
      <c r="W140" s="1643"/>
      <c r="X140" s="1373"/>
      <c r="Y140" s="1373"/>
      <c r="Z140" s="551"/>
      <c r="AA140" s="1373"/>
      <c r="AB140" s="1373"/>
      <c r="AC140" s="1373"/>
      <c r="AD140" s="1373"/>
      <c r="AE140" s="1373"/>
      <c r="AF140" s="1639"/>
      <c r="AG140" s="629"/>
      <c r="AH140" s="629"/>
      <c r="AI140" s="629"/>
      <c r="AJ140" s="629"/>
      <c r="AK140" s="1648">
        <v>11</v>
      </c>
    </row>
    <row s="1648" customFormat="1" customHeight="1" ht="11.549999999999999">
      <c r="A141" s="994"/>
      <c r="B141" s="994"/>
      <c r="C141" s="994"/>
      <c r="D141" s="994"/>
      <c r="E141" s="994"/>
      <c r="F141" s="1643"/>
      <c r="G141" s="1643"/>
      <c r="H141" s="358"/>
      <c r="N141" s="1373"/>
      <c r="P141" s="1373"/>
      <c r="Q141" s="1643"/>
      <c r="R141" s="1643"/>
      <c r="S141" s="1373"/>
      <c r="T141" s="1373"/>
      <c r="U141" s="1373"/>
      <c r="V141" s="1373"/>
      <c r="W141" s="1643"/>
      <c r="X141" s="1373"/>
      <c r="Y141" s="1373"/>
      <c r="Z141" s="551"/>
      <c r="AA141" s="1373"/>
      <c r="AB141" s="1373"/>
      <c r="AC141" s="1373"/>
      <c r="AD141" s="1373"/>
      <c r="AE141" s="1373"/>
      <c r="AF141" s="1639"/>
      <c r="AG141" s="629"/>
      <c r="AH141" s="629"/>
      <c r="AI141" s="629"/>
      <c r="AJ141" s="629"/>
      <c r="AK141" s="1648">
        <v>11</v>
      </c>
    </row>
    <row s="1648" customFormat="1" customHeight="1" ht="11.549999999999999">
      <c r="A142" s="994"/>
      <c r="B142" s="994"/>
      <c r="C142" s="994"/>
      <c r="D142" s="994"/>
      <c r="E142" s="994"/>
      <c r="F142" s="1643"/>
      <c r="G142" s="1643"/>
      <c r="H142" s="358"/>
      <c r="N142" s="1373"/>
      <c r="P142" s="1373"/>
      <c r="Q142" s="1643"/>
      <c r="R142" s="1643"/>
      <c r="S142" s="1373"/>
      <c r="T142" s="1373"/>
      <c r="U142" s="1373"/>
      <c r="V142" s="1373"/>
      <c r="W142" s="1643"/>
      <c r="X142" s="1373"/>
      <c r="Y142" s="1373"/>
      <c r="Z142" s="551"/>
      <c r="AA142" s="1373"/>
      <c r="AB142" s="1373"/>
      <c r="AC142" s="1373"/>
      <c r="AD142" s="1373"/>
      <c r="AE142" s="1373"/>
      <c r="AF142" s="1639"/>
      <c r="AG142" s="629"/>
      <c r="AH142" s="629"/>
      <c r="AI142" s="629"/>
      <c r="AJ142" s="629"/>
      <c r="AK142" s="1648">
        <v>11</v>
      </c>
    </row>
    <row s="1648" customFormat="1" customHeight="1" ht="11.549999999999999">
      <c r="A143" s="994"/>
      <c r="B143" s="994"/>
      <c r="C143" s="994"/>
      <c r="D143" s="994"/>
      <c r="E143" s="994"/>
      <c r="F143" s="1643"/>
      <c r="G143" s="1643"/>
      <c r="H143" s="358"/>
      <c r="N143" s="1373"/>
      <c r="P143" s="1373"/>
      <c r="Q143" s="1643"/>
      <c r="R143" s="1643"/>
      <c r="S143" s="1373"/>
      <c r="T143" s="1373"/>
      <c r="U143" s="1373"/>
      <c r="V143" s="1373"/>
      <c r="W143" s="1643"/>
      <c r="X143" s="1373"/>
      <c r="Y143" s="1373"/>
      <c r="Z143" s="551"/>
      <c r="AA143" s="1373"/>
      <c r="AB143" s="1373"/>
      <c r="AC143" s="1373"/>
      <c r="AD143" s="1373"/>
      <c r="AE143" s="1373"/>
      <c r="AF143" s="1639"/>
      <c r="AG143" s="629"/>
      <c r="AH143" s="629"/>
      <c r="AI143" s="629"/>
      <c r="AJ143" s="629"/>
      <c r="AK143" s="1648">
        <v>11</v>
      </c>
    </row>
    <row s="1648" customFormat="1" customHeight="1" ht="11.549999999999999">
      <c r="A144" s="994"/>
      <c r="B144" s="994"/>
      <c r="C144" s="994"/>
      <c r="D144" s="994"/>
      <c r="E144" s="994"/>
      <c r="F144" s="1643"/>
      <c r="G144" s="1643"/>
      <c r="H144" s="358"/>
      <c r="N144" s="1373"/>
      <c r="P144" s="1373"/>
      <c r="Q144" s="1643"/>
      <c r="R144" s="1643"/>
      <c r="S144" s="1373"/>
      <c r="T144" s="1373"/>
      <c r="U144" s="1373"/>
      <c r="V144" s="1373"/>
      <c r="W144" s="1643"/>
      <c r="X144" s="1373"/>
      <c r="Y144" s="1373"/>
      <c r="Z144" s="551"/>
      <c r="AA144" s="1373"/>
      <c r="AB144" s="1373"/>
      <c r="AC144" s="1373"/>
      <c r="AD144" s="1373"/>
      <c r="AE144" s="1373"/>
      <c r="AF144" s="1639"/>
      <c r="AG144" s="629"/>
      <c r="AH144" s="629"/>
      <c r="AI144" s="629"/>
      <c r="AJ144" s="629"/>
      <c r="AK144" s="1648">
        <v>11</v>
      </c>
    </row>
    <row s="1648" customFormat="1" customHeight="1" ht="11.549999999999999">
      <c r="A145" s="994"/>
      <c r="B145" s="994"/>
      <c r="C145" s="994"/>
      <c r="D145" s="994"/>
      <c r="E145" s="994"/>
      <c r="F145" s="1643"/>
      <c r="G145" s="1643"/>
      <c r="H145" s="358"/>
      <c r="N145" s="1373"/>
      <c r="P145" s="1373"/>
      <c r="Q145" s="1643"/>
      <c r="R145" s="1643"/>
      <c r="S145" s="1373"/>
      <c r="T145" s="1373"/>
      <c r="U145" s="1373"/>
      <c r="V145" s="1373"/>
      <c r="W145" s="1643"/>
      <c r="X145" s="1373"/>
      <c r="Y145" s="1373"/>
      <c r="Z145" s="551"/>
      <c r="AA145" s="1373"/>
      <c r="AB145" s="1373"/>
      <c r="AC145" s="1373"/>
      <c r="AD145" s="1373"/>
      <c r="AE145" s="1373"/>
      <c r="AF145" s="1639"/>
      <c r="AG145" s="629"/>
      <c r="AH145" s="629"/>
      <c r="AI145" s="629"/>
      <c r="AJ145" s="629"/>
      <c r="AK145" s="1648">
        <v>11</v>
      </c>
    </row>
    <row s="1648" customFormat="1" customHeight="1" ht="11.549999999999999">
      <c r="A146" s="994"/>
      <c r="B146" s="994"/>
      <c r="C146" s="994"/>
      <c r="D146" s="994"/>
      <c r="E146" s="994"/>
      <c r="F146" s="1643"/>
      <c r="G146" s="1643"/>
      <c r="H146" s="358"/>
      <c r="N146" s="1373"/>
      <c r="P146" s="1373"/>
      <c r="Q146" s="1643"/>
      <c r="R146" s="1643"/>
      <c r="S146" s="1373"/>
      <c r="T146" s="1373"/>
      <c r="U146" s="1373"/>
      <c r="V146" s="1373"/>
      <c r="W146" s="1643"/>
      <c r="X146" s="1373"/>
      <c r="Y146" s="1373"/>
      <c r="Z146" s="551"/>
      <c r="AA146" s="1373"/>
      <c r="AB146" s="1373"/>
      <c r="AC146" s="1373"/>
      <c r="AD146" s="1373"/>
      <c r="AE146" s="1373"/>
      <c r="AF146" s="1639"/>
      <c r="AG146" s="629"/>
      <c r="AH146" s="629"/>
      <c r="AI146" s="629"/>
      <c r="AJ146" s="629"/>
      <c r="AK146" s="1648">
        <v>11</v>
      </c>
    </row>
    <row s="1648" customFormat="1" customHeight="1" ht="11.549999999999999">
      <c r="A147" s="994"/>
      <c r="B147" s="994"/>
      <c r="C147" s="994"/>
      <c r="D147" s="994"/>
      <c r="E147" s="994"/>
      <c r="F147" s="1643"/>
      <c r="G147" s="1643"/>
      <c r="H147" s="358"/>
      <c r="N147" s="1373"/>
      <c r="P147" s="1373"/>
      <c r="Q147" s="1643"/>
      <c r="R147" s="1643"/>
      <c r="S147" s="1373"/>
      <c r="T147" s="1373"/>
      <c r="U147" s="1373"/>
      <c r="V147" s="1373"/>
      <c r="W147" s="1643"/>
      <c r="X147" s="1373"/>
      <c r="Y147" s="1373"/>
      <c r="Z147" s="551"/>
      <c r="AA147" s="1373"/>
      <c r="AB147" s="1373"/>
      <c r="AC147" s="1373"/>
      <c r="AD147" s="1373"/>
      <c r="AE147" s="1373"/>
      <c r="AF147" s="1639"/>
      <c r="AG147" s="629"/>
      <c r="AH147" s="629"/>
      <c r="AI147" s="629"/>
      <c r="AJ147" s="629"/>
      <c r="AK147" s="1648">
        <v>11</v>
      </c>
    </row>
    <row s="1648" customFormat="1" customHeight="1" ht="11.549999999999999">
      <c r="A148" s="994"/>
      <c r="B148" s="994"/>
      <c r="C148" s="994"/>
      <c r="D148" s="994"/>
      <c r="E148" s="994"/>
      <c r="F148" s="1643"/>
      <c r="G148" s="1643"/>
      <c r="H148" s="358"/>
      <c r="N148" s="1373"/>
      <c r="P148" s="1373"/>
      <c r="Q148" s="1643"/>
      <c r="R148" s="1643"/>
      <c r="S148" s="1373"/>
      <c r="T148" s="1373"/>
      <c r="U148" s="1373"/>
      <c r="V148" s="1373"/>
      <c r="W148" s="1643"/>
      <c r="X148" s="1373"/>
      <c r="Y148" s="1373"/>
      <c r="Z148" s="551"/>
      <c r="AA148" s="1373"/>
      <c r="AB148" s="1373"/>
      <c r="AC148" s="1373"/>
      <c r="AD148" s="1373"/>
      <c r="AE148" s="1373"/>
      <c r="AF148" s="1639"/>
      <c r="AG148" s="629"/>
      <c r="AH148" s="629"/>
      <c r="AI148" s="629"/>
      <c r="AJ148" s="629"/>
      <c r="AK148" s="1648">
        <v>11</v>
      </c>
    </row>
    <row s="1648" customFormat="1" customHeight="1" ht="11.549999999999999">
      <c r="A149" s="994"/>
      <c r="B149" s="994"/>
      <c r="C149" s="994"/>
      <c r="D149" s="994"/>
      <c r="E149" s="994"/>
      <c r="F149" s="1643"/>
      <c r="G149" s="1643"/>
      <c r="H149" s="358"/>
      <c r="N149" s="1373"/>
      <c r="P149" s="1373"/>
      <c r="Q149" s="1643"/>
      <c r="R149" s="1643"/>
      <c r="S149" s="1373"/>
      <c r="T149" s="1373"/>
      <c r="U149" s="1373"/>
      <c r="V149" s="1373"/>
      <c r="W149" s="1643"/>
      <c r="X149" s="1373"/>
      <c r="Y149" s="1373"/>
      <c r="Z149" s="551"/>
      <c r="AA149" s="1373"/>
      <c r="AB149" s="1373"/>
      <c r="AC149" s="1373"/>
      <c r="AD149" s="1373"/>
      <c r="AE149" s="1373"/>
      <c r="AF149" s="1639"/>
      <c r="AG149" s="629"/>
      <c r="AH149" s="629"/>
      <c r="AI149" s="629"/>
      <c r="AJ149" s="629"/>
      <c r="AK149" s="1648">
        <v>11</v>
      </c>
    </row>
    <row s="1648" customFormat="1" customHeight="1" ht="11.549999999999999">
      <c r="A150" s="994"/>
      <c r="B150" s="994"/>
      <c r="C150" s="994"/>
      <c r="D150" s="994"/>
      <c r="E150" s="994"/>
      <c r="F150" s="1643"/>
      <c r="G150" s="1643"/>
      <c r="H150" s="358"/>
      <c r="N150" s="1373"/>
      <c r="P150" s="1373"/>
      <c r="Q150" s="1643"/>
      <c r="R150" s="1643"/>
      <c r="S150" s="1373"/>
      <c r="T150" s="1373"/>
      <c r="U150" s="1373"/>
      <c r="V150" s="1373"/>
      <c r="W150" s="1643"/>
      <c r="X150" s="1373"/>
      <c r="Y150" s="1373"/>
      <c r="Z150" s="551"/>
      <c r="AA150" s="1373"/>
      <c r="AB150" s="1373"/>
      <c r="AC150" s="1373"/>
      <c r="AD150" s="1373"/>
      <c r="AE150" s="1373"/>
      <c r="AF150" s="1639"/>
      <c r="AG150" s="629"/>
      <c r="AH150" s="629"/>
      <c r="AI150" s="629"/>
      <c r="AJ150" s="629"/>
      <c r="AK150" s="1648">
        <v>11</v>
      </c>
    </row>
    <row s="1648" customFormat="1" customHeight="1" ht="11.549999999999999">
      <c r="A151" s="994"/>
      <c r="B151" s="994"/>
      <c r="C151" s="994"/>
      <c r="D151" s="994"/>
      <c r="E151" s="994"/>
      <c r="F151" s="1643"/>
      <c r="G151" s="1643"/>
      <c r="H151" s="358"/>
      <c r="N151" s="1373"/>
      <c r="P151" s="1373"/>
      <c r="Q151" s="1643"/>
      <c r="R151" s="1643"/>
      <c r="S151" s="1373"/>
      <c r="T151" s="1373"/>
      <c r="U151" s="1373"/>
      <c r="V151" s="1373"/>
      <c r="W151" s="1643"/>
      <c r="X151" s="1373"/>
      <c r="Y151" s="1373"/>
      <c r="Z151" s="551"/>
      <c r="AA151" s="1373"/>
      <c r="AB151" s="1373"/>
      <c r="AC151" s="1373"/>
      <c r="AD151" s="1373"/>
      <c r="AE151" s="1373"/>
      <c r="AF151" s="1639"/>
      <c r="AG151" s="629"/>
      <c r="AH151" s="629"/>
      <c r="AI151" s="629"/>
      <c r="AJ151" s="629"/>
      <c r="AK151" s="1648">
        <v>11</v>
      </c>
    </row>
    <row s="1648" customFormat="1" customHeight="1" ht="11.549999999999999">
      <c r="A152" s="994"/>
      <c r="B152" s="994"/>
      <c r="C152" s="994"/>
      <c r="D152" s="994"/>
      <c r="E152" s="994"/>
      <c r="F152" s="1643"/>
      <c r="G152" s="1643"/>
      <c r="H152" s="358"/>
      <c r="N152" s="1373"/>
      <c r="P152" s="1373"/>
      <c r="Q152" s="1643"/>
      <c r="R152" s="1643"/>
      <c r="S152" s="1373"/>
      <c r="T152" s="1373"/>
      <c r="U152" s="1373"/>
      <c r="V152" s="1373"/>
      <c r="W152" s="1643"/>
      <c r="X152" s="1373"/>
      <c r="Y152" s="1373"/>
      <c r="Z152" s="551"/>
      <c r="AA152" s="1373"/>
      <c r="AB152" s="1373"/>
      <c r="AC152" s="1373"/>
      <c r="AD152" s="1373"/>
      <c r="AE152" s="1373"/>
      <c r="AF152" s="1639"/>
      <c r="AG152" s="629"/>
      <c r="AH152" s="629"/>
      <c r="AI152" s="629"/>
      <c r="AJ152" s="629"/>
      <c r="AK152" s="1648">
        <v>11</v>
      </c>
    </row>
    <row s="1648" customFormat="1" customHeight="1" ht="11.549999999999999">
      <c r="A153" s="994"/>
      <c r="B153" s="994"/>
      <c r="C153" s="994"/>
      <c r="D153" s="994"/>
      <c r="E153" s="994"/>
      <c r="F153" s="1643"/>
      <c r="G153" s="1643"/>
      <c r="H153" s="358"/>
      <c r="N153" s="1373"/>
      <c r="P153" s="1373"/>
      <c r="Q153" s="1643"/>
      <c r="R153" s="1643"/>
      <c r="S153" s="1373"/>
      <c r="T153" s="1373"/>
      <c r="U153" s="1373"/>
      <c r="V153" s="1373"/>
      <c r="W153" s="1643"/>
      <c r="X153" s="1373"/>
      <c r="Y153" s="1373"/>
      <c r="Z153" s="551"/>
      <c r="AA153" s="1373"/>
      <c r="AB153" s="1373"/>
      <c r="AC153" s="1373"/>
      <c r="AD153" s="1373"/>
      <c r="AE153" s="1373"/>
      <c r="AF153" s="1639"/>
      <c r="AG153" s="629"/>
      <c r="AH153" s="629"/>
      <c r="AI153" s="629"/>
      <c r="AJ153" s="629"/>
      <c r="AK153" s="1648">
        <v>11</v>
      </c>
    </row>
    <row s="1648" customFormat="1" customHeight="1" ht="11.549999999999999">
      <c r="A154" s="994"/>
      <c r="B154" s="994"/>
      <c r="C154" s="994"/>
      <c r="D154" s="994"/>
      <c r="E154" s="994"/>
      <c r="F154" s="1643"/>
      <c r="G154" s="1643"/>
      <c r="H154" s="358"/>
      <c r="N154" s="1373"/>
      <c r="P154" s="1373"/>
      <c r="Q154" s="1643"/>
      <c r="R154" s="1643"/>
      <c r="S154" s="1373"/>
      <c r="T154" s="1373"/>
      <c r="U154" s="1373"/>
      <c r="V154" s="1373"/>
      <c r="W154" s="1643"/>
      <c r="X154" s="1373"/>
      <c r="Y154" s="1373"/>
      <c r="Z154" s="551"/>
      <c r="AA154" s="1373"/>
      <c r="AB154" s="1373"/>
      <c r="AC154" s="1373"/>
      <c r="AD154" s="1373"/>
      <c r="AE154" s="1373"/>
      <c r="AF154" s="1639"/>
      <c r="AG154" s="629"/>
      <c r="AH154" s="629"/>
      <c r="AI154" s="629"/>
      <c r="AJ154" s="629"/>
      <c r="AK154" s="1648">
        <v>11</v>
      </c>
    </row>
    <row s="1648" customFormat="1" customHeight="1" ht="11.549999999999999">
      <c r="A155" s="994"/>
      <c r="B155" s="994"/>
      <c r="C155" s="994"/>
      <c r="D155" s="994"/>
      <c r="E155" s="994"/>
      <c r="F155" s="1643"/>
      <c r="G155" s="1643"/>
      <c r="H155" s="358"/>
      <c r="N155" s="1373"/>
      <c r="P155" s="1373"/>
      <c r="Q155" s="1643"/>
      <c r="R155" s="1643"/>
      <c r="S155" s="1373"/>
      <c r="T155" s="1373"/>
      <c r="U155" s="1373"/>
      <c r="V155" s="1373"/>
      <c r="W155" s="1643"/>
      <c r="X155" s="1373"/>
      <c r="Y155" s="1373"/>
      <c r="Z155" s="551"/>
      <c r="AA155" s="1373"/>
      <c r="AB155" s="1373"/>
      <c r="AC155" s="1373"/>
      <c r="AD155" s="1373"/>
      <c r="AE155" s="1373"/>
      <c r="AF155" s="1639"/>
      <c r="AG155" s="629"/>
      <c r="AH155" s="629"/>
      <c r="AI155" s="629"/>
      <c r="AJ155" s="629"/>
      <c r="AK155" s="1648">
        <v>11</v>
      </c>
    </row>
    <row s="1648" customFormat="1" customHeight="1" ht="11.549999999999999">
      <c r="A156" s="994"/>
      <c r="B156" s="994"/>
      <c r="C156" s="994"/>
      <c r="D156" s="994"/>
      <c r="E156" s="994"/>
      <c r="F156" s="1643"/>
      <c r="G156" s="1643"/>
      <c r="H156" s="358"/>
      <c r="N156" s="1373"/>
      <c r="P156" s="1373"/>
      <c r="Q156" s="1643"/>
      <c r="R156" s="1643"/>
      <c r="S156" s="1373"/>
      <c r="T156" s="1373"/>
      <c r="U156" s="1373"/>
      <c r="V156" s="1373"/>
      <c r="W156" s="1643"/>
      <c r="X156" s="1373"/>
      <c r="Y156" s="1373"/>
      <c r="Z156" s="551"/>
      <c r="AA156" s="1373"/>
      <c r="AB156" s="1373"/>
      <c r="AC156" s="1373"/>
      <c r="AD156" s="1373"/>
      <c r="AE156" s="1373"/>
      <c r="AF156" s="1639"/>
      <c r="AG156" s="629"/>
      <c r="AH156" s="629"/>
      <c r="AI156" s="629"/>
      <c r="AJ156" s="629"/>
      <c r="AK156" s="1648">
        <v>11</v>
      </c>
    </row>
    <row s="1648" customFormat="1" customHeight="1" ht="11.549999999999999">
      <c r="A157" s="994"/>
      <c r="B157" s="994"/>
      <c r="C157" s="994"/>
      <c r="D157" s="994"/>
      <c r="E157" s="994"/>
      <c r="F157" s="1643"/>
      <c r="G157" s="1643"/>
      <c r="H157" s="358"/>
      <c r="N157" s="1373"/>
      <c r="P157" s="1373"/>
      <c r="Q157" s="1643"/>
      <c r="R157" s="1643"/>
      <c r="S157" s="1373"/>
      <c r="T157" s="1373"/>
      <c r="U157" s="1373"/>
      <c r="V157" s="1373"/>
      <c r="W157" s="1643"/>
      <c r="X157" s="1373"/>
      <c r="Y157" s="1373"/>
      <c r="Z157" s="551"/>
      <c r="AA157" s="1373"/>
      <c r="AB157" s="1373"/>
      <c r="AC157" s="1373"/>
      <c r="AD157" s="1373"/>
      <c r="AE157" s="1373"/>
      <c r="AF157" s="1639"/>
      <c r="AG157" s="629"/>
      <c r="AH157" s="629"/>
      <c r="AI157" s="629"/>
      <c r="AJ157" s="629"/>
      <c r="AK157" s="1648">
        <v>11</v>
      </c>
    </row>
    <row s="1648" customFormat="1" customHeight="1" ht="11.549999999999999">
      <c r="A158" s="994"/>
      <c r="B158" s="994"/>
      <c r="C158" s="994"/>
      <c r="D158" s="994"/>
      <c r="E158" s="994"/>
      <c r="F158" s="1643"/>
      <c r="G158" s="1643"/>
      <c r="H158" s="358"/>
      <c r="N158" s="1373"/>
      <c r="P158" s="1373"/>
      <c r="Q158" s="1643"/>
      <c r="R158" s="1643"/>
      <c r="S158" s="1373"/>
      <c r="T158" s="1373"/>
      <c r="U158" s="1373"/>
      <c r="V158" s="1373"/>
      <c r="W158" s="1643"/>
      <c r="X158" s="1373"/>
      <c r="Y158" s="1373"/>
      <c r="Z158" s="551"/>
      <c r="AA158" s="1373"/>
      <c r="AB158" s="1373"/>
      <c r="AC158" s="1373"/>
      <c r="AD158" s="1373"/>
      <c r="AE158" s="1373"/>
      <c r="AF158" s="1639"/>
      <c r="AG158" s="629"/>
      <c r="AH158" s="629"/>
      <c r="AI158" s="629"/>
      <c r="AJ158" s="629"/>
      <c r="AK158" s="1648">
        <v>11</v>
      </c>
    </row>
    <row s="1648" customFormat="1" customHeight="1" ht="11.549999999999999">
      <c r="A159" s="994"/>
      <c r="B159" s="994"/>
      <c r="C159" s="994"/>
      <c r="D159" s="994"/>
      <c r="E159" s="994"/>
      <c r="F159" s="1643"/>
      <c r="G159" s="1643"/>
      <c r="H159" s="358"/>
      <c r="N159" s="1373"/>
      <c r="P159" s="1373"/>
      <c r="Q159" s="1643"/>
      <c r="R159" s="1643"/>
      <c r="S159" s="1373"/>
      <c r="T159" s="1373"/>
      <c r="U159" s="1373"/>
      <c r="V159" s="1373"/>
      <c r="W159" s="1643"/>
      <c r="X159" s="1373"/>
      <c r="Y159" s="1373"/>
      <c r="Z159" s="551"/>
      <c r="AA159" s="1373"/>
      <c r="AB159" s="1373"/>
      <c r="AC159" s="1373"/>
      <c r="AD159" s="1373"/>
      <c r="AE159" s="1373"/>
      <c r="AF159" s="1639"/>
      <c r="AG159" s="629"/>
      <c r="AH159" s="629"/>
      <c r="AI159" s="629"/>
      <c r="AJ159" s="629"/>
      <c r="AK159" s="1648">
        <v>11</v>
      </c>
    </row>
    <row s="1648" customFormat="1" customHeight="1" ht="11.549999999999999">
      <c r="A160" s="994"/>
      <c r="B160" s="994"/>
      <c r="C160" s="994"/>
      <c r="D160" s="994"/>
      <c r="E160" s="994"/>
      <c r="F160" s="1643"/>
      <c r="G160" s="1643"/>
      <c r="H160" s="358"/>
      <c r="N160" s="1373"/>
      <c r="P160" s="1373"/>
      <c r="Q160" s="1643"/>
      <c r="R160" s="1643"/>
      <c r="S160" s="1373"/>
      <c r="T160" s="1373"/>
      <c r="U160" s="1373"/>
      <c r="V160" s="1373"/>
      <c r="W160" s="1643"/>
      <c r="X160" s="1373"/>
      <c r="Y160" s="1373"/>
      <c r="Z160" s="551"/>
      <c r="AA160" s="1373"/>
      <c r="AB160" s="1373"/>
      <c r="AC160" s="1373"/>
      <c r="AD160" s="1373"/>
      <c r="AE160" s="1373"/>
      <c r="AF160" s="1639"/>
      <c r="AG160" s="629"/>
      <c r="AH160" s="629"/>
      <c r="AI160" s="629"/>
      <c r="AJ160" s="629"/>
      <c r="AK160" s="1648">
        <v>11</v>
      </c>
    </row>
    <row s="1648" customFormat="1" customHeight="1" ht="11.549999999999999">
      <c r="A161" s="994"/>
      <c r="B161" s="994"/>
      <c r="C161" s="994"/>
      <c r="D161" s="994"/>
      <c r="E161" s="994"/>
      <c r="F161" s="1643"/>
      <c r="G161" s="1643"/>
      <c r="H161" s="358"/>
      <c r="N161" s="1373"/>
      <c r="P161" s="1373"/>
      <c r="Q161" s="1643"/>
      <c r="R161" s="1643"/>
      <c r="S161" s="1373"/>
      <c r="T161" s="1373"/>
      <c r="U161" s="1373"/>
      <c r="V161" s="1373"/>
      <c r="W161" s="1643"/>
      <c r="X161" s="1373"/>
      <c r="Y161" s="1373"/>
      <c r="Z161" s="551"/>
      <c r="AA161" s="1373"/>
      <c r="AB161" s="1373"/>
      <c r="AC161" s="1373"/>
      <c r="AD161" s="1373"/>
      <c r="AE161" s="1373"/>
      <c r="AF161" s="1639"/>
      <c r="AG161" s="629"/>
      <c r="AH161" s="629"/>
      <c r="AI161" s="629"/>
      <c r="AJ161" s="629"/>
      <c r="AK161" s="1648">
        <v>11</v>
      </c>
    </row>
    <row s="1648" customFormat="1" customHeight="1" ht="11.549999999999999">
      <c r="A162" s="994"/>
      <c r="B162" s="994"/>
      <c r="C162" s="994"/>
      <c r="D162" s="994"/>
      <c r="E162" s="994"/>
      <c r="F162" s="1643"/>
      <c r="G162" s="1643"/>
      <c r="H162" s="358"/>
      <c r="N162" s="1373"/>
      <c r="P162" s="1373"/>
      <c r="Q162" s="1643"/>
      <c r="R162" s="1643"/>
      <c r="S162" s="1373"/>
      <c r="T162" s="1373"/>
      <c r="U162" s="1373"/>
      <c r="V162" s="1373"/>
      <c r="W162" s="1643"/>
      <c r="X162" s="1373"/>
      <c r="Y162" s="1373"/>
      <c r="Z162" s="551"/>
      <c r="AA162" s="1373"/>
      <c r="AB162" s="1373"/>
      <c r="AC162" s="1373"/>
      <c r="AD162" s="1373"/>
      <c r="AE162" s="1373"/>
      <c r="AF162" s="1639"/>
      <c r="AG162" s="629"/>
      <c r="AH162" s="629"/>
      <c r="AI162" s="629"/>
      <c r="AJ162" s="629"/>
      <c r="AK162" s="1648">
        <v>11</v>
      </c>
    </row>
    <row s="1648" customFormat="1" customHeight="1" ht="11.549999999999999">
      <c r="A163" s="994"/>
      <c r="B163" s="994"/>
      <c r="C163" s="994"/>
      <c r="D163" s="994"/>
      <c r="E163" s="994"/>
      <c r="F163" s="1643"/>
      <c r="G163" s="1643"/>
      <c r="H163" s="358"/>
      <c r="N163" s="1373"/>
      <c r="P163" s="1373"/>
      <c r="Q163" s="1643"/>
      <c r="R163" s="1643"/>
      <c r="S163" s="1373"/>
      <c r="T163" s="1373"/>
      <c r="U163" s="1373"/>
      <c r="V163" s="1373"/>
      <c r="W163" s="1643"/>
      <c r="X163" s="1373"/>
      <c r="Y163" s="1373"/>
      <c r="Z163" s="551"/>
      <c r="AA163" s="1373"/>
      <c r="AB163" s="1373"/>
      <c r="AC163" s="1373"/>
      <c r="AD163" s="1373"/>
      <c r="AE163" s="1373"/>
      <c r="AF163" s="1639"/>
      <c r="AG163" s="629"/>
      <c r="AH163" s="629"/>
      <c r="AI163" s="629"/>
      <c r="AJ163" s="629"/>
      <c r="AK163" s="1648">
        <v>11</v>
      </c>
    </row>
    <row s="1648" customFormat="1" customHeight="1" ht="11.549999999999999">
      <c r="A164" s="994"/>
      <c r="B164" s="994"/>
      <c r="C164" s="994"/>
      <c r="D164" s="994"/>
      <c r="E164" s="994"/>
      <c r="F164" s="1643"/>
      <c r="G164" s="1643"/>
      <c r="H164" s="358"/>
      <c r="N164" s="1373"/>
      <c r="P164" s="1373"/>
      <c r="Q164" s="1643"/>
      <c r="R164" s="1643"/>
      <c r="S164" s="1373"/>
      <c r="T164" s="1373"/>
      <c r="U164" s="1373"/>
      <c r="V164" s="1373"/>
      <c r="W164" s="1643"/>
      <c r="X164" s="1373"/>
      <c r="Y164" s="1373"/>
      <c r="Z164" s="551"/>
      <c r="AA164" s="1373"/>
      <c r="AB164" s="1373"/>
      <c r="AC164" s="1373"/>
      <c r="AD164" s="1373"/>
      <c r="AE164" s="1373"/>
      <c r="AF164" s="1639"/>
      <c r="AG164" s="629"/>
      <c r="AH164" s="629"/>
      <c r="AI164" s="629"/>
      <c r="AJ164" s="629"/>
      <c r="AK164" s="1648">
        <v>11</v>
      </c>
    </row>
    <row s="1648" customFormat="1" customHeight="1" ht="11.549999999999999">
      <c r="A165" s="994"/>
      <c r="B165" s="994"/>
      <c r="C165" s="994"/>
      <c r="D165" s="994"/>
      <c r="E165" s="994"/>
      <c r="F165" s="1643"/>
      <c r="G165" s="1643"/>
      <c r="H165" s="358"/>
      <c r="N165" s="1373"/>
      <c r="P165" s="1373"/>
      <c r="Q165" s="1643"/>
      <c r="R165" s="1643"/>
      <c r="S165" s="1373"/>
      <c r="T165" s="1373"/>
      <c r="U165" s="1373"/>
      <c r="V165" s="1373"/>
      <c r="W165" s="1643"/>
      <c r="X165" s="1373"/>
      <c r="Y165" s="1373"/>
      <c r="Z165" s="551"/>
      <c r="AA165" s="1373"/>
      <c r="AB165" s="1373"/>
      <c r="AC165" s="1373"/>
      <c r="AD165" s="1373"/>
      <c r="AE165" s="1373"/>
      <c r="AF165" s="1639"/>
      <c r="AG165" s="629"/>
      <c r="AH165" s="629"/>
      <c r="AI165" s="629"/>
      <c r="AJ165" s="629"/>
      <c r="AK165" s="1648">
        <v>11</v>
      </c>
    </row>
    <row s="1648" customFormat="1" customHeight="1" ht="11.549999999999999">
      <c r="A166" s="994"/>
      <c r="B166" s="994"/>
      <c r="C166" s="994"/>
      <c r="D166" s="994"/>
      <c r="E166" s="994"/>
      <c r="F166" s="1643"/>
      <c r="G166" s="1643"/>
      <c r="H166" s="358"/>
      <c r="N166" s="1373"/>
      <c r="P166" s="1373"/>
      <c r="Q166" s="1643"/>
      <c r="R166" s="1643"/>
      <c r="S166" s="1373"/>
      <c r="T166" s="1373"/>
      <c r="U166" s="1373"/>
      <c r="V166" s="1373"/>
      <c r="W166" s="1643"/>
      <c r="X166" s="1373"/>
      <c r="Y166" s="1373"/>
      <c r="Z166" s="551"/>
      <c r="AA166" s="1373"/>
      <c r="AB166" s="1373"/>
      <c r="AC166" s="1373"/>
      <c r="AD166" s="1373"/>
      <c r="AE166" s="1373"/>
      <c r="AF166" s="1639"/>
      <c r="AG166" s="629"/>
      <c r="AH166" s="629"/>
      <c r="AI166" s="629"/>
      <c r="AJ166" s="629"/>
      <c r="AK166" s="1648">
        <v>11</v>
      </c>
    </row>
    <row s="1648" customFormat="1" customHeight="1" ht="11.549999999999999">
      <c r="A167" s="994"/>
      <c r="B167" s="994"/>
      <c r="C167" s="994"/>
      <c r="D167" s="994"/>
      <c r="E167" s="994"/>
      <c r="F167" s="1643"/>
      <c r="G167" s="1643"/>
      <c r="H167" s="358"/>
      <c r="N167" s="1373"/>
      <c r="P167" s="1373"/>
      <c r="Q167" s="1643"/>
      <c r="R167" s="1643"/>
      <c r="S167" s="1373"/>
      <c r="T167" s="1373"/>
      <c r="U167" s="1373"/>
      <c r="V167" s="1373"/>
      <c r="W167" s="1643"/>
      <c r="X167" s="1373"/>
      <c r="Y167" s="1373"/>
      <c r="Z167" s="551"/>
      <c r="AA167" s="1373"/>
      <c r="AB167" s="1373"/>
      <c r="AC167" s="1373"/>
      <c r="AD167" s="1373"/>
      <c r="AE167" s="1373"/>
      <c r="AF167" s="1639"/>
      <c r="AG167" s="629"/>
      <c r="AH167" s="629"/>
      <c r="AI167" s="629"/>
      <c r="AJ167" s="629"/>
      <c r="AK167" s="1648">
        <v>11</v>
      </c>
    </row>
    <row s="1648" customFormat="1" customHeight="1" ht="11.549999999999999">
      <c r="A168" s="994"/>
      <c r="B168" s="994"/>
      <c r="C168" s="994"/>
      <c r="D168" s="994"/>
      <c r="E168" s="994"/>
      <c r="F168" s="1643"/>
      <c r="G168" s="1643"/>
      <c r="H168" s="358"/>
      <c r="N168" s="1373"/>
      <c r="P168" s="1373"/>
      <c r="Q168" s="1643"/>
      <c r="R168" s="1643"/>
      <c r="S168" s="1373"/>
      <c r="T168" s="1373"/>
      <c r="U168" s="1373"/>
      <c r="V168" s="1373"/>
      <c r="W168" s="1643"/>
      <c r="X168" s="1373"/>
      <c r="Y168" s="1373"/>
      <c r="Z168" s="551"/>
      <c r="AA168" s="1373"/>
      <c r="AB168" s="1373"/>
      <c r="AC168" s="1373"/>
      <c r="AD168" s="1373"/>
      <c r="AE168" s="1373"/>
      <c r="AF168" s="1639"/>
      <c r="AG168" s="629"/>
      <c r="AH168" s="629"/>
      <c r="AI168" s="629"/>
      <c r="AJ168" s="629"/>
      <c r="AK168" s="1648">
        <v>11</v>
      </c>
    </row>
    <row s="1648" customFormat="1" customHeight="1" ht="11.549999999999999">
      <c r="A169" s="994"/>
      <c r="B169" s="994"/>
      <c r="C169" s="994"/>
      <c r="D169" s="994"/>
      <c r="E169" s="994"/>
      <c r="F169" s="1643"/>
      <c r="G169" s="1643"/>
      <c r="H169" s="358"/>
      <c r="N169" s="1373"/>
      <c r="P169" s="1373"/>
      <c r="Q169" s="1643"/>
      <c r="R169" s="1643"/>
      <c r="S169" s="1373"/>
      <c r="T169" s="1373"/>
      <c r="U169" s="1373"/>
      <c r="V169" s="1373"/>
      <c r="W169" s="1643"/>
      <c r="X169" s="1373"/>
      <c r="Y169" s="1373"/>
      <c r="Z169" s="551"/>
      <c r="AA169" s="1373"/>
      <c r="AB169" s="1373"/>
      <c r="AC169" s="1373"/>
      <c r="AD169" s="1373"/>
      <c r="AE169" s="1373"/>
      <c r="AF169" s="1639"/>
      <c r="AG169" s="629"/>
      <c r="AH169" s="629"/>
      <c r="AI169" s="629"/>
      <c r="AJ169" s="629"/>
      <c r="AK169" s="1648">
        <v>11</v>
      </c>
    </row>
    <row s="1648" customFormat="1" customHeight="1" ht="11.549999999999999">
      <c r="A170" s="994"/>
      <c r="B170" s="994"/>
      <c r="C170" s="994"/>
      <c r="D170" s="994"/>
      <c r="E170" s="994"/>
      <c r="F170" s="1643"/>
      <c r="G170" s="1643"/>
      <c r="H170" s="358"/>
      <c r="N170" s="1373"/>
      <c r="P170" s="1373"/>
      <c r="Q170" s="1643"/>
      <c r="R170" s="1643"/>
      <c r="S170" s="1373"/>
      <c r="T170" s="1373"/>
      <c r="U170" s="1373"/>
      <c r="V170" s="1373"/>
      <c r="W170" s="1643"/>
      <c r="X170" s="1373"/>
      <c r="Y170" s="1373"/>
      <c r="Z170" s="551"/>
      <c r="AA170" s="1373"/>
      <c r="AB170" s="1373"/>
      <c r="AC170" s="1373"/>
      <c r="AD170" s="1373"/>
      <c r="AE170" s="1373"/>
      <c r="AF170" s="1639"/>
      <c r="AG170" s="629"/>
      <c r="AH170" s="629"/>
      <c r="AI170" s="629"/>
      <c r="AJ170" s="629"/>
      <c r="AK170" s="1648">
        <v>11</v>
      </c>
    </row>
    <row s="1648" customFormat="1" customHeight="1" ht="11.549999999999999">
      <c r="A171" s="994"/>
      <c r="B171" s="994"/>
      <c r="C171" s="994"/>
      <c r="D171" s="994"/>
      <c r="E171" s="994"/>
      <c r="F171" s="1643"/>
      <c r="G171" s="1643"/>
      <c r="H171" s="358"/>
      <c r="N171" s="1373"/>
      <c r="P171" s="1373"/>
      <c r="Q171" s="1643"/>
      <c r="R171" s="1643"/>
      <c r="S171" s="1373"/>
      <c r="T171" s="1373"/>
      <c r="U171" s="1373"/>
      <c r="V171" s="1373"/>
      <c r="W171" s="1643"/>
      <c r="X171" s="1373"/>
      <c r="Y171" s="1373"/>
      <c r="Z171" s="551"/>
      <c r="AA171" s="1373"/>
      <c r="AB171" s="1373"/>
      <c r="AC171" s="1373"/>
      <c r="AD171" s="1373"/>
      <c r="AE171" s="1373"/>
      <c r="AF171" s="1639"/>
      <c r="AG171" s="629"/>
      <c r="AH171" s="629"/>
      <c r="AI171" s="629"/>
      <c r="AJ171" s="629"/>
      <c r="AK171" s="1648">
        <v>11</v>
      </c>
    </row>
    <row s="1648" customFormat="1" customHeight="1" ht="11.549999999999999">
      <c r="A172" s="994"/>
      <c r="B172" s="994"/>
      <c r="C172" s="994"/>
      <c r="D172" s="994"/>
      <c r="E172" s="994"/>
      <c r="F172" s="1643"/>
      <c r="G172" s="1643"/>
      <c r="H172" s="358"/>
      <c r="N172" s="1373"/>
      <c r="P172" s="1373"/>
      <c r="Q172" s="1643"/>
      <c r="R172" s="1643"/>
      <c r="S172" s="1373"/>
      <c r="T172" s="1373"/>
      <c r="U172" s="1373"/>
      <c r="V172" s="1373"/>
      <c r="W172" s="1643"/>
      <c r="X172" s="1373"/>
      <c r="Y172" s="1373"/>
      <c r="Z172" s="551"/>
      <c r="AA172" s="1373"/>
      <c r="AB172" s="1373"/>
      <c r="AC172" s="1373"/>
      <c r="AD172" s="1373"/>
      <c r="AE172" s="1373"/>
      <c r="AF172" s="1639"/>
      <c r="AG172" s="629"/>
      <c r="AH172" s="629"/>
      <c r="AI172" s="629"/>
      <c r="AJ172" s="629"/>
      <c r="AK172" s="1648">
        <v>11</v>
      </c>
    </row>
    <row s="1648" customFormat="1" customHeight="1" ht="11.549999999999999">
      <c r="A173" s="994"/>
      <c r="B173" s="994"/>
      <c r="C173" s="994"/>
      <c r="D173" s="994"/>
      <c r="E173" s="994"/>
      <c r="F173" s="1643"/>
      <c r="G173" s="1643"/>
      <c r="H173" s="358"/>
      <c r="N173" s="1373"/>
      <c r="P173" s="1373"/>
      <c r="Q173" s="1643"/>
      <c r="R173" s="1643"/>
      <c r="S173" s="1373"/>
      <c r="T173" s="1373"/>
      <c r="U173" s="1373"/>
      <c r="V173" s="1373"/>
      <c r="W173" s="1643"/>
      <c r="X173" s="1373"/>
      <c r="Y173" s="1373"/>
      <c r="Z173" s="551"/>
      <c r="AA173" s="1373"/>
      <c r="AB173" s="1373"/>
      <c r="AC173" s="1373"/>
      <c r="AD173" s="1373"/>
      <c r="AE173" s="1373"/>
      <c r="AF173" s="1639"/>
      <c r="AG173" s="629"/>
      <c r="AH173" s="629"/>
      <c r="AI173" s="629"/>
      <c r="AJ173" s="629"/>
      <c r="AK173" s="1648">
        <v>11</v>
      </c>
    </row>
    <row s="1648" customFormat="1" customHeight="1" ht="11.549999999999999">
      <c r="A174" s="994"/>
      <c r="B174" s="994"/>
      <c r="C174" s="994"/>
      <c r="D174" s="994"/>
      <c r="E174" s="994"/>
      <c r="F174" s="1643"/>
      <c r="G174" s="1643"/>
      <c r="H174" s="358"/>
      <c r="N174" s="1373"/>
      <c r="P174" s="1373"/>
      <c r="Q174" s="1643"/>
      <c r="R174" s="1643"/>
      <c r="S174" s="1373"/>
      <c r="T174" s="1373"/>
      <c r="U174" s="1373"/>
      <c r="V174" s="1373"/>
      <c r="W174" s="1643"/>
      <c r="X174" s="1373"/>
      <c r="Y174" s="1373"/>
      <c r="Z174" s="551"/>
      <c r="AA174" s="1373"/>
      <c r="AB174" s="1373"/>
      <c r="AC174" s="1373"/>
      <c r="AD174" s="1373"/>
      <c r="AE174" s="1373"/>
      <c r="AF174" s="1639"/>
      <c r="AG174" s="629"/>
      <c r="AH174" s="629"/>
      <c r="AI174" s="629"/>
      <c r="AJ174" s="629"/>
      <c r="AK174" s="1648">
        <v>11</v>
      </c>
    </row>
    <row s="1648" customFormat="1" customHeight="1" ht="11.549999999999999">
      <c r="A175" s="994"/>
      <c r="B175" s="994"/>
      <c r="C175" s="994"/>
      <c r="D175" s="994"/>
      <c r="E175" s="994"/>
      <c r="F175" s="1643"/>
      <c r="G175" s="1643"/>
      <c r="H175" s="358"/>
      <c r="N175" s="1373"/>
      <c r="P175" s="1373"/>
      <c r="Q175" s="1643"/>
      <c r="R175" s="1643"/>
      <c r="S175" s="1373"/>
      <c r="T175" s="1373"/>
      <c r="U175" s="1373"/>
      <c r="V175" s="1373"/>
      <c r="W175" s="1643"/>
      <c r="X175" s="1373"/>
      <c r="Y175" s="1373"/>
      <c r="Z175" s="551"/>
      <c r="AA175" s="1373"/>
      <c r="AB175" s="1373"/>
      <c r="AC175" s="1373"/>
      <c r="AD175" s="1373"/>
      <c r="AE175" s="1373"/>
      <c r="AF175" s="1639"/>
      <c r="AG175" s="629"/>
      <c r="AH175" s="629"/>
      <c r="AI175" s="629"/>
      <c r="AJ175" s="629"/>
      <c r="AK175" s="1648">
        <v>11</v>
      </c>
    </row>
    <row s="1648" customFormat="1" customHeight="1" ht="11.549999999999999">
      <c r="A176" s="994"/>
      <c r="B176" s="994"/>
      <c r="C176" s="994"/>
      <c r="D176" s="994"/>
      <c r="E176" s="994"/>
      <c r="F176" s="1643"/>
      <c r="G176" s="1643"/>
      <c r="H176" s="358"/>
      <c r="N176" s="1373"/>
      <c r="P176" s="1373"/>
      <c r="Q176" s="1643"/>
      <c r="R176" s="1643"/>
      <c r="S176" s="1373"/>
      <c r="T176" s="1373"/>
      <c r="U176" s="1373"/>
      <c r="V176" s="1373"/>
      <c r="W176" s="1643"/>
      <c r="X176" s="1373"/>
      <c r="Y176" s="1373"/>
      <c r="Z176" s="551"/>
      <c r="AA176" s="1373"/>
      <c r="AB176" s="1373"/>
      <c r="AC176" s="1373"/>
      <c r="AD176" s="1373"/>
      <c r="AE176" s="1373"/>
      <c r="AF176" s="1639"/>
      <c r="AG176" s="629"/>
      <c r="AH176" s="629"/>
      <c r="AI176" s="629"/>
      <c r="AJ176" s="629"/>
      <c r="AK176" s="1648">
        <v>11</v>
      </c>
    </row>
    <row s="1648" customFormat="1" customHeight="1" ht="11.549999999999999">
      <c r="A177" s="994"/>
      <c r="B177" s="994"/>
      <c r="C177" s="994"/>
      <c r="D177" s="994"/>
      <c r="E177" s="994"/>
      <c r="F177" s="1643"/>
      <c r="G177" s="1643"/>
      <c r="H177" s="358"/>
      <c r="N177" s="1373"/>
      <c r="P177" s="1373"/>
      <c r="Q177" s="1643"/>
      <c r="R177" s="1643"/>
      <c r="S177" s="1373"/>
      <c r="T177" s="1373"/>
      <c r="U177" s="1373"/>
      <c r="V177" s="1373"/>
      <c r="W177" s="1643"/>
      <c r="X177" s="1373"/>
      <c r="Y177" s="1373"/>
      <c r="Z177" s="551"/>
      <c r="AA177" s="1373"/>
      <c r="AB177" s="1373"/>
      <c r="AC177" s="1373"/>
      <c r="AD177" s="1373"/>
      <c r="AE177" s="1373"/>
      <c r="AF177" s="1639"/>
      <c r="AG177" s="629"/>
      <c r="AH177" s="629"/>
      <c r="AI177" s="629"/>
      <c r="AJ177" s="629"/>
      <c r="AK177" s="1648">
        <v>11</v>
      </c>
    </row>
    <row s="1648" customFormat="1" customHeight="1" ht="11.549999999999999">
      <c r="A178" s="994"/>
      <c r="B178" s="994"/>
      <c r="C178" s="994"/>
      <c r="D178" s="994"/>
      <c r="E178" s="994"/>
      <c r="F178" s="1643"/>
      <c r="G178" s="1643"/>
      <c r="H178" s="358"/>
      <c r="N178" s="1373"/>
      <c r="P178" s="1373"/>
      <c r="Q178" s="1643"/>
      <c r="R178" s="1643"/>
      <c r="S178" s="1373"/>
      <c r="T178" s="1373"/>
      <c r="U178" s="1373"/>
      <c r="V178" s="1373"/>
      <c r="W178" s="1643"/>
      <c r="X178" s="1373"/>
      <c r="Y178" s="1373"/>
      <c r="Z178" s="551"/>
      <c r="AA178" s="1373"/>
      <c r="AB178" s="1373"/>
      <c r="AC178" s="1373"/>
      <c r="AD178" s="1373"/>
      <c r="AE178" s="1373"/>
      <c r="AF178" s="1639"/>
      <c r="AG178" s="629"/>
      <c r="AH178" s="629"/>
      <c r="AI178" s="629"/>
      <c r="AJ178" s="629"/>
      <c r="AK178" s="1648">
        <v>11</v>
      </c>
    </row>
    <row s="1648" customFormat="1" customHeight="1" ht="11.549999999999999">
      <c r="A179" s="994"/>
      <c r="B179" s="994"/>
      <c r="C179" s="994"/>
      <c r="D179" s="994"/>
      <c r="E179" s="994"/>
      <c r="F179" s="1643"/>
      <c r="G179" s="1643"/>
      <c r="H179" s="358"/>
      <c r="N179" s="1373"/>
      <c r="P179" s="1373"/>
      <c r="Q179" s="1643"/>
      <c r="R179" s="1643"/>
      <c r="S179" s="1373"/>
      <c r="T179" s="1373"/>
      <c r="U179" s="1373"/>
      <c r="V179" s="1373"/>
      <c r="W179" s="1643"/>
      <c r="X179" s="1373"/>
      <c r="Y179" s="1373"/>
      <c r="Z179" s="551"/>
      <c r="AA179" s="1373"/>
      <c r="AB179" s="1373"/>
      <c r="AC179" s="1373"/>
      <c r="AD179" s="1373"/>
      <c r="AE179" s="1373"/>
      <c r="AF179" s="1639"/>
      <c r="AG179" s="629"/>
      <c r="AH179" s="629"/>
      <c r="AI179" s="629"/>
      <c r="AJ179" s="629"/>
      <c r="AK179" s="1648">
        <v>11</v>
      </c>
    </row>
    <row s="1648" customFormat="1" customHeight="1" ht="11.549999999999999">
      <c r="A180" s="994"/>
      <c r="B180" s="994"/>
      <c r="C180" s="994"/>
      <c r="D180" s="994"/>
      <c r="E180" s="994"/>
      <c r="F180" s="1643"/>
      <c r="G180" s="1643"/>
      <c r="H180" s="358"/>
      <c r="N180" s="1373"/>
      <c r="P180" s="1373"/>
      <c r="Q180" s="1643"/>
      <c r="R180" s="1643"/>
      <c r="S180" s="1373"/>
      <c r="T180" s="1373"/>
      <c r="U180" s="1373"/>
      <c r="V180" s="1373"/>
      <c r="W180" s="1643"/>
      <c r="X180" s="1373"/>
      <c r="Y180" s="1373"/>
      <c r="Z180" s="551"/>
      <c r="AA180" s="1373"/>
      <c r="AB180" s="1373"/>
      <c r="AC180" s="1373"/>
      <c r="AD180" s="1373"/>
      <c r="AE180" s="1373"/>
      <c r="AF180" s="1639"/>
      <c r="AG180" s="629"/>
      <c r="AH180" s="629"/>
      <c r="AI180" s="629"/>
      <c r="AJ180" s="629"/>
      <c r="AK180" s="1648">
        <v>11</v>
      </c>
    </row>
    <row s="1648" customFormat="1" customHeight="1" ht="11.549999999999999">
      <c r="A181" s="994"/>
      <c r="B181" s="994"/>
      <c r="C181" s="994"/>
      <c r="D181" s="994"/>
      <c r="E181" s="994"/>
      <c r="F181" s="1643"/>
      <c r="G181" s="1643"/>
      <c r="H181" s="358"/>
      <c r="N181" s="1373"/>
      <c r="P181" s="1373"/>
      <c r="Q181" s="1643"/>
      <c r="R181" s="1643"/>
      <c r="S181" s="1373"/>
      <c r="T181" s="1373"/>
      <c r="U181" s="1373"/>
      <c r="V181" s="1373"/>
      <c r="W181" s="1643"/>
      <c r="X181" s="1373"/>
      <c r="Y181" s="1373"/>
      <c r="Z181" s="551"/>
      <c r="AA181" s="1373"/>
      <c r="AB181" s="1373"/>
      <c r="AC181" s="1373"/>
      <c r="AD181" s="1373"/>
      <c r="AE181" s="1373"/>
      <c r="AF181" s="1639"/>
      <c r="AG181" s="629"/>
      <c r="AH181" s="629"/>
      <c r="AI181" s="629"/>
      <c r="AJ181" s="629"/>
      <c r="AK181" s="1648">
        <v>11</v>
      </c>
    </row>
    <row s="1648" customFormat="1" customHeight="1" ht="11.549999999999999">
      <c r="A182" s="994"/>
      <c r="B182" s="994"/>
      <c r="C182" s="994"/>
      <c r="D182" s="994"/>
      <c r="E182" s="994"/>
      <c r="F182" s="1643"/>
      <c r="G182" s="1643"/>
      <c r="H182" s="358"/>
      <c r="N182" s="1373"/>
      <c r="P182" s="1373"/>
      <c r="Q182" s="1643"/>
      <c r="R182" s="1643"/>
      <c r="S182" s="1373"/>
      <c r="T182" s="1373"/>
      <c r="U182" s="1373"/>
      <c r="V182" s="1373"/>
      <c r="W182" s="1643"/>
      <c r="X182" s="1373"/>
      <c r="Y182" s="1373"/>
      <c r="Z182" s="551"/>
      <c r="AA182" s="1373"/>
      <c r="AB182" s="1373"/>
      <c r="AC182" s="1373"/>
      <c r="AD182" s="1373"/>
      <c r="AE182" s="1373"/>
      <c r="AF182" s="1639"/>
      <c r="AG182" s="629"/>
      <c r="AH182" s="629"/>
      <c r="AI182" s="629"/>
      <c r="AJ182" s="629"/>
      <c r="AK182" s="1648">
        <v>11</v>
      </c>
    </row>
    <row s="1648" customFormat="1" customHeight="1" ht="11.549999999999999">
      <c r="A183" s="994"/>
      <c r="B183" s="994"/>
      <c r="C183" s="994"/>
      <c r="D183" s="994"/>
      <c r="E183" s="994"/>
      <c r="F183" s="1643"/>
      <c r="G183" s="1643"/>
      <c r="H183" s="358"/>
      <c r="N183" s="1373"/>
      <c r="P183" s="1373"/>
      <c r="Q183" s="1643"/>
      <c r="R183" s="1643"/>
      <c r="S183" s="1373"/>
      <c r="T183" s="1373"/>
      <c r="U183" s="1373"/>
      <c r="V183" s="1373"/>
      <c r="W183" s="1643"/>
      <c r="X183" s="1373"/>
      <c r="Y183" s="1373"/>
      <c r="Z183" s="551"/>
      <c r="AA183" s="1373"/>
      <c r="AB183" s="1373"/>
      <c r="AC183" s="1373"/>
      <c r="AD183" s="1373"/>
      <c r="AE183" s="1373"/>
      <c r="AF183" s="1639"/>
      <c r="AG183" s="629"/>
      <c r="AH183" s="629"/>
      <c r="AI183" s="629"/>
      <c r="AJ183" s="629"/>
      <c r="AK183" s="1648">
        <v>11</v>
      </c>
    </row>
    <row s="1648" customFormat="1" customHeight="1" ht="11.549999999999999">
      <c r="A184" s="994"/>
      <c r="B184" s="994"/>
      <c r="C184" s="994"/>
      <c r="D184" s="994"/>
      <c r="E184" s="994"/>
      <c r="F184" s="1643"/>
      <c r="G184" s="1643"/>
      <c r="H184" s="358"/>
      <c r="N184" s="1373"/>
      <c r="P184" s="1373"/>
      <c r="Q184" s="1643"/>
      <c r="R184" s="1643"/>
      <c r="S184" s="1373"/>
      <c r="T184" s="1373"/>
      <c r="U184" s="1373"/>
      <c r="V184" s="1373"/>
      <c r="W184" s="1643"/>
      <c r="X184" s="1373"/>
      <c r="Y184" s="1373"/>
      <c r="Z184" s="551"/>
      <c r="AA184" s="1373"/>
      <c r="AB184" s="1373"/>
      <c r="AC184" s="1373"/>
      <c r="AD184" s="1373"/>
      <c r="AE184" s="1373"/>
      <c r="AF184" s="1639"/>
      <c r="AG184" s="629"/>
      <c r="AH184" s="629"/>
      <c r="AI184" s="629"/>
      <c r="AJ184" s="629"/>
      <c r="AK184" s="1648">
        <v>11</v>
      </c>
    </row>
    <row s="1648" customFormat="1" customHeight="1" ht="11.549999999999999">
      <c r="A185" s="994"/>
      <c r="B185" s="994"/>
      <c r="C185" s="994"/>
      <c r="D185" s="994"/>
      <c r="E185" s="994"/>
      <c r="F185" s="1643"/>
      <c r="G185" s="1643"/>
      <c r="H185" s="358"/>
      <c r="N185" s="1373"/>
      <c r="P185" s="1373"/>
      <c r="Q185" s="1643"/>
      <c r="R185" s="1643"/>
      <c r="S185" s="1373"/>
      <c r="T185" s="1373"/>
      <c r="U185" s="1373"/>
      <c r="V185" s="1373"/>
      <c r="W185" s="1643"/>
      <c r="X185" s="1373"/>
      <c r="Y185" s="1373"/>
      <c r="Z185" s="551"/>
      <c r="AA185" s="1373"/>
      <c r="AB185" s="1373"/>
      <c r="AC185" s="1373"/>
      <c r="AD185" s="1373"/>
      <c r="AE185" s="1373"/>
      <c r="AF185" s="1639"/>
      <c r="AG185" s="629"/>
      <c r="AH185" s="629"/>
      <c r="AI185" s="629"/>
      <c r="AJ185" s="629"/>
      <c r="AK185" s="1648">
        <v>11</v>
      </c>
    </row>
    <row s="1648" customFormat="1" customHeight="1" ht="11.549999999999999">
      <c r="A186" s="994"/>
      <c r="B186" s="994"/>
      <c r="C186" s="994"/>
      <c r="D186" s="994"/>
      <c r="E186" s="994"/>
      <c r="F186" s="1643"/>
      <c r="G186" s="1643"/>
      <c r="H186" s="358"/>
      <c r="N186" s="1373"/>
      <c r="P186" s="1373"/>
      <c r="Q186" s="1643"/>
      <c r="R186" s="1643"/>
      <c r="S186" s="1373"/>
      <c r="T186" s="1373"/>
      <c r="U186" s="1373"/>
      <c r="V186" s="1373"/>
      <c r="W186" s="1643"/>
      <c r="X186" s="1373"/>
      <c r="Y186" s="1373"/>
      <c r="Z186" s="551"/>
      <c r="AA186" s="1373"/>
      <c r="AB186" s="1373"/>
      <c r="AC186" s="1373"/>
      <c r="AD186" s="1373"/>
      <c r="AE186" s="1373"/>
      <c r="AF186" s="1639"/>
      <c r="AG186" s="629"/>
      <c r="AH186" s="629"/>
      <c r="AI186" s="629"/>
      <c r="AJ186" s="629"/>
      <c r="AK186" s="1648">
        <v>11</v>
      </c>
    </row>
    <row s="1648" customFormat="1" customHeight="1" ht="11.549999999999999">
      <c r="A187" s="994"/>
      <c r="B187" s="994"/>
      <c r="C187" s="994"/>
      <c r="D187" s="994"/>
      <c r="E187" s="994"/>
      <c r="F187" s="1643"/>
      <c r="G187" s="1643"/>
      <c r="H187" s="358"/>
      <c r="N187" s="1373"/>
      <c r="P187" s="1373"/>
      <c r="Q187" s="1643"/>
      <c r="R187" s="1643"/>
      <c r="S187" s="1373"/>
      <c r="T187" s="1373"/>
      <c r="U187" s="1373"/>
      <c r="V187" s="1373"/>
      <c r="W187" s="1643"/>
      <c r="X187" s="1373"/>
      <c r="Y187" s="1373"/>
      <c r="Z187" s="551"/>
      <c r="AA187" s="1373"/>
      <c r="AB187" s="1373"/>
      <c r="AC187" s="1373"/>
      <c r="AD187" s="1373"/>
      <c r="AE187" s="1373"/>
      <c r="AF187" s="1639"/>
      <c r="AG187" s="629"/>
      <c r="AH187" s="629"/>
      <c r="AI187" s="629"/>
      <c r="AJ187" s="629"/>
      <c r="AK187" s="1648">
        <v>11</v>
      </c>
    </row>
    <row s="1648" customFormat="1" customHeight="1" ht="11.549999999999999">
      <c r="A188" s="994"/>
      <c r="B188" s="994"/>
      <c r="C188" s="994"/>
      <c r="D188" s="994"/>
      <c r="E188" s="994"/>
      <c r="F188" s="1643"/>
      <c r="G188" s="1643"/>
      <c r="H188" s="358"/>
      <c r="N188" s="1373"/>
      <c r="P188" s="1373"/>
      <c r="Q188" s="1643"/>
      <c r="R188" s="1643"/>
      <c r="S188" s="1373"/>
      <c r="T188" s="1373"/>
      <c r="U188" s="1373"/>
      <c r="V188" s="1373"/>
      <c r="W188" s="1643"/>
      <c r="X188" s="1373"/>
      <c r="Y188" s="1373"/>
      <c r="Z188" s="551"/>
      <c r="AA188" s="1373"/>
      <c r="AB188" s="1373"/>
      <c r="AC188" s="1373"/>
      <c r="AD188" s="1373"/>
      <c r="AE188" s="1373"/>
      <c r="AF188" s="1639"/>
      <c r="AG188" s="629"/>
      <c r="AH188" s="629"/>
      <c r="AI188" s="629"/>
      <c r="AJ188" s="629"/>
      <c r="AK188" s="1648">
        <v>11</v>
      </c>
    </row>
    <row s="1648" customFormat="1" customHeight="1" ht="11.549999999999999">
      <c r="A189" s="994"/>
      <c r="B189" s="994"/>
      <c r="C189" s="994"/>
      <c r="D189" s="994"/>
      <c r="E189" s="994"/>
      <c r="F189" s="1643"/>
      <c r="G189" s="1643"/>
      <c r="H189" s="358"/>
      <c r="N189" s="1373"/>
      <c r="P189" s="1373"/>
      <c r="Q189" s="1643"/>
      <c r="R189" s="1643"/>
      <c r="S189" s="1373"/>
      <c r="T189" s="1373"/>
      <c r="U189" s="1373"/>
      <c r="V189" s="1373"/>
      <c r="W189" s="1643"/>
      <c r="X189" s="1373"/>
      <c r="Y189" s="1373"/>
      <c r="Z189" s="551"/>
      <c r="AA189" s="1373"/>
      <c r="AB189" s="1373"/>
      <c r="AC189" s="1373"/>
      <c r="AD189" s="1373"/>
      <c r="AE189" s="1373"/>
      <c r="AF189" s="1639"/>
      <c r="AG189" s="629"/>
      <c r="AH189" s="629"/>
      <c r="AI189" s="629"/>
      <c r="AJ189" s="629"/>
      <c r="AK189" s="1648">
        <v>11</v>
      </c>
    </row>
    <row customHeight="1" ht="11.549999999999999">
      <c r="AK190" s="1638">
        <v>11</v>
      </c>
    </row>
    <row customHeight="1" ht="11.549999999999999">
      <c r="AK191" s="1638">
        <v>11</v>
      </c>
    </row>
    <row customHeight="1" ht="11.549999999999999">
      <c r="AK192" s="1638">
        <v>11</v>
      </c>
    </row>
    <row customHeight="1" ht="11.549999999999999">
      <c r="A193" s="997"/>
      <c r="B193" s="997"/>
      <c r="C193" s="997"/>
      <c r="D193" s="997"/>
      <c r="E193" s="997"/>
      <c r="F193" s="1638"/>
      <c r="H193" s="1638"/>
      <c r="N193" s="1638"/>
      <c r="P193" s="1638"/>
      <c r="S193" s="1638"/>
      <c r="T193" s="1638"/>
      <c r="U193" s="1638"/>
      <c r="V193" s="1638"/>
      <c r="X193" s="1638"/>
      <c r="Y193" s="1638"/>
      <c r="Z193" s="1638"/>
      <c r="AA193" s="1638"/>
      <c r="AB193" s="1638"/>
      <c r="AC193" s="1638"/>
      <c r="AD193" s="1638"/>
      <c r="AE193" s="1638"/>
      <c r="AF193" s="1638"/>
      <c r="AG193" s="1638"/>
      <c r="AH193" s="1638"/>
      <c r="AI193" s="1638"/>
      <c r="AJ193" s="1638"/>
      <c r="AK193" s="1638">
        <v>11</v>
      </c>
    </row>
    <row customHeight="1" ht="11.549999999999999">
      <c r="A194" s="997"/>
      <c r="B194" s="997"/>
      <c r="C194" s="997"/>
      <c r="D194" s="997"/>
      <c r="E194" s="997"/>
      <c r="F194" s="1638"/>
      <c r="H194" s="1638"/>
      <c r="N194" s="1638"/>
      <c r="P194" s="1638"/>
      <c r="S194" s="1638"/>
      <c r="T194" s="1638"/>
      <c r="U194" s="1638"/>
      <c r="V194" s="1638"/>
      <c r="X194" s="1638"/>
      <c r="Y194" s="1638"/>
      <c r="Z194" s="1638"/>
      <c r="AA194" s="1638"/>
      <c r="AB194" s="1638"/>
      <c r="AC194" s="1638"/>
      <c r="AD194" s="1638"/>
      <c r="AE194" s="1638"/>
      <c r="AF194" s="1638"/>
      <c r="AG194" s="1638"/>
      <c r="AH194" s="1638"/>
      <c r="AI194" s="1638"/>
      <c r="AJ194" s="1638"/>
      <c r="AK194" s="1638">
        <v>11</v>
      </c>
    </row>
    <row customHeight="1" ht="11.549999999999999">
      <c r="A195" s="997"/>
      <c r="B195" s="997"/>
      <c r="C195" s="997"/>
      <c r="D195" s="997"/>
      <c r="E195" s="997"/>
      <c r="F195" s="1638"/>
      <c r="H195" s="1638"/>
      <c r="N195" s="1638"/>
      <c r="P195" s="1638"/>
      <c r="S195" s="1638"/>
      <c r="T195" s="1638"/>
      <c r="U195" s="1638"/>
      <c r="V195" s="1638"/>
      <c r="X195" s="1638"/>
      <c r="Y195" s="1638"/>
      <c r="Z195" s="1638"/>
      <c r="AA195" s="1638"/>
      <c r="AB195" s="1638"/>
      <c r="AC195" s="1638"/>
      <c r="AD195" s="1638"/>
      <c r="AE195" s="1638"/>
      <c r="AF195" s="1638"/>
      <c r="AG195" s="1638"/>
      <c r="AH195" s="1638"/>
      <c r="AI195" s="1638"/>
      <c r="AJ195" s="1638"/>
      <c r="AK195" s="1638">
        <v>11</v>
      </c>
    </row>
    <row customHeight="1" ht="11.549999999999999">
      <c r="A196" s="997"/>
      <c r="B196" s="997"/>
      <c r="C196" s="997"/>
      <c r="D196" s="997"/>
      <c r="E196" s="997"/>
      <c r="F196" s="1638"/>
      <c r="H196" s="1638"/>
      <c r="N196" s="1638"/>
      <c r="P196" s="1638"/>
      <c r="S196" s="1638"/>
      <c r="T196" s="1638"/>
      <c r="U196" s="1638"/>
      <c r="V196" s="1638"/>
      <c r="X196" s="1638"/>
      <c r="Y196" s="1638"/>
      <c r="Z196" s="1638"/>
      <c r="AA196" s="1638"/>
      <c r="AB196" s="1638"/>
      <c r="AC196" s="1638"/>
      <c r="AD196" s="1638"/>
      <c r="AE196" s="1638"/>
      <c r="AF196" s="1638"/>
      <c r="AG196" s="1638"/>
      <c r="AH196" s="1638"/>
      <c r="AI196" s="1638"/>
      <c r="AJ196" s="1638"/>
      <c r="AK196" s="1638">
        <v>11</v>
      </c>
    </row>
    <row customHeight="1" ht="11.549999999999999">
      <c r="A197" s="997"/>
      <c r="B197" s="997"/>
      <c r="C197" s="997"/>
      <c r="D197" s="997"/>
      <c r="E197" s="997"/>
      <c r="F197" s="1638"/>
      <c r="H197" s="1638"/>
      <c r="N197" s="1638"/>
      <c r="P197" s="1638"/>
      <c r="S197" s="1638"/>
      <c r="T197" s="1638"/>
      <c r="U197" s="1638"/>
      <c r="V197" s="1638"/>
      <c r="X197" s="1638"/>
      <c r="Y197" s="1638"/>
      <c r="Z197" s="1638"/>
      <c r="AA197" s="1638"/>
      <c r="AB197" s="1638"/>
      <c r="AC197" s="1638"/>
      <c r="AD197" s="1638"/>
      <c r="AE197" s="1638"/>
      <c r="AF197" s="1638"/>
      <c r="AG197" s="1638"/>
      <c r="AH197" s="1638"/>
      <c r="AI197" s="1638"/>
      <c r="AJ197" s="1638"/>
      <c r="AK197" s="1638">
        <v>11</v>
      </c>
    </row>
    <row customHeight="1" ht="11.549999999999999">
      <c r="A198" s="997"/>
      <c r="B198" s="997"/>
      <c r="C198" s="997"/>
      <c r="D198" s="997"/>
      <c r="E198" s="997"/>
      <c r="F198" s="1638"/>
      <c r="H198" s="1638"/>
      <c r="N198" s="1638"/>
      <c r="P198" s="1638"/>
      <c r="S198" s="1638"/>
      <c r="T198" s="1638"/>
      <c r="U198" s="1638"/>
      <c r="V198" s="1638"/>
      <c r="X198" s="1638"/>
      <c r="Y198" s="1638"/>
      <c r="Z198" s="1638"/>
      <c r="AA198" s="1638"/>
      <c r="AB198" s="1638"/>
      <c r="AC198" s="1638"/>
      <c r="AD198" s="1638"/>
      <c r="AE198" s="1638"/>
      <c r="AF198" s="1638"/>
      <c r="AG198" s="1638"/>
      <c r="AH198" s="1638"/>
      <c r="AI198" s="1638"/>
      <c r="AJ198" s="1638"/>
      <c r="AK198" s="1638">
        <v>11</v>
      </c>
    </row>
    <row customHeight="1" ht="11.549999999999999">
      <c r="A199" s="997"/>
      <c r="B199" s="997"/>
      <c r="C199" s="997"/>
      <c r="D199" s="997"/>
      <c r="E199" s="997"/>
      <c r="F199" s="1638"/>
      <c r="H199" s="1638"/>
      <c r="N199" s="1638"/>
      <c r="P199" s="1638"/>
      <c r="S199" s="1638"/>
      <c r="T199" s="1638"/>
      <c r="U199" s="1638"/>
      <c r="V199" s="1638"/>
      <c r="X199" s="1638"/>
      <c r="Y199" s="1638"/>
      <c r="Z199" s="1638"/>
      <c r="AA199" s="1638"/>
      <c r="AB199" s="1638"/>
      <c r="AC199" s="1638"/>
      <c r="AD199" s="1638"/>
      <c r="AE199" s="1638"/>
      <c r="AF199" s="1638"/>
      <c r="AG199" s="1638"/>
      <c r="AH199" s="1638"/>
      <c r="AI199" s="1638"/>
      <c r="AJ199" s="1638"/>
      <c r="AK199" s="1638">
        <v>11</v>
      </c>
    </row>
    <row customHeight="1" ht="11.549999999999999">
      <c r="A200" s="997"/>
      <c r="B200" s="997"/>
      <c r="C200" s="997"/>
      <c r="D200" s="997"/>
      <c r="E200" s="997"/>
      <c r="F200" s="1638"/>
      <c r="H200" s="1638"/>
      <c r="N200" s="1638"/>
      <c r="P200" s="1638"/>
      <c r="S200" s="1638"/>
      <c r="T200" s="1638"/>
      <c r="U200" s="1638"/>
      <c r="V200" s="1638"/>
      <c r="X200" s="1638"/>
      <c r="Y200" s="1638"/>
      <c r="Z200" s="1638"/>
      <c r="AA200" s="1638"/>
      <c r="AB200" s="1638"/>
      <c r="AC200" s="1638"/>
      <c r="AD200" s="1638"/>
      <c r="AE200" s="1638"/>
      <c r="AF200" s="1638"/>
      <c r="AG200" s="1638"/>
      <c r="AH200" s="1638"/>
      <c r="AI200" s="1638"/>
      <c r="AJ200" s="1638"/>
      <c r="AK200" s="1638">
        <v>11</v>
      </c>
    </row>
    <row customHeight="1" ht="11.549999999999999">
      <c r="A201" s="997"/>
      <c r="B201" s="997"/>
      <c r="C201" s="997"/>
      <c r="D201" s="997"/>
      <c r="E201" s="997"/>
      <c r="F201" s="1638"/>
      <c r="H201" s="1638"/>
      <c r="N201" s="1638"/>
      <c r="P201" s="1638"/>
      <c r="S201" s="1638"/>
      <c r="T201" s="1638"/>
      <c r="U201" s="1638"/>
      <c r="V201" s="1638"/>
      <c r="X201" s="1638"/>
      <c r="Y201" s="1638"/>
      <c r="Z201" s="1638"/>
      <c r="AA201" s="1638"/>
      <c r="AB201" s="1638"/>
      <c r="AC201" s="1638"/>
      <c r="AD201" s="1638"/>
      <c r="AE201" s="1638"/>
      <c r="AF201" s="1638"/>
      <c r="AG201" s="1638"/>
      <c r="AH201" s="1638"/>
      <c r="AI201" s="1638"/>
      <c r="AJ201" s="1638"/>
      <c r="AK201" s="1638">
        <v>11</v>
      </c>
    </row>
    <row customHeight="1" ht="11.549999999999999">
      <c r="A202" s="997"/>
      <c r="B202" s="997"/>
      <c r="C202" s="997"/>
      <c r="D202" s="997"/>
      <c r="E202" s="997"/>
      <c r="F202" s="1638"/>
      <c r="H202" s="1638"/>
      <c r="N202" s="1638"/>
      <c r="P202" s="1638"/>
      <c r="S202" s="1638"/>
      <c r="T202" s="1638"/>
      <c r="U202" s="1638"/>
      <c r="V202" s="1638"/>
      <c r="X202" s="1638"/>
      <c r="Y202" s="1638"/>
      <c r="Z202" s="1638"/>
      <c r="AA202" s="1638"/>
      <c r="AB202" s="1638"/>
      <c r="AC202" s="1638"/>
      <c r="AD202" s="1638"/>
      <c r="AE202" s="1638"/>
      <c r="AF202" s="1638"/>
      <c r="AG202" s="1638"/>
      <c r="AH202" s="1638"/>
      <c r="AI202" s="1638"/>
      <c r="AJ202" s="1638"/>
      <c r="AK202" s="1638">
        <v>11</v>
      </c>
    </row>
    <row customHeight="1" ht="11.549999999999999">
      <c r="A203" s="997"/>
      <c r="B203" s="997"/>
      <c r="C203" s="997"/>
      <c r="D203" s="997"/>
      <c r="E203" s="997"/>
      <c r="F203" s="1638"/>
      <c r="H203" s="1638"/>
      <c r="N203" s="1638"/>
      <c r="P203" s="1638"/>
      <c r="S203" s="1638"/>
      <c r="T203" s="1638"/>
      <c r="U203" s="1638"/>
      <c r="V203" s="1638"/>
      <c r="X203" s="1638"/>
      <c r="Y203" s="1638"/>
      <c r="Z203" s="1638"/>
      <c r="AA203" s="1638"/>
      <c r="AB203" s="1638"/>
      <c r="AC203" s="1638"/>
      <c r="AD203" s="1638"/>
      <c r="AE203" s="1638"/>
      <c r="AF203" s="1638"/>
      <c r="AG203" s="1638"/>
      <c r="AH203" s="1638"/>
      <c r="AI203" s="1638"/>
      <c r="AJ203" s="1638"/>
      <c r="AK203" s="1638">
        <v>11</v>
      </c>
    </row>
    <row customHeight="1" ht="12.75" hidden="1">
      <c r="A204" s="994" t="s">
        <v>82</v>
      </c>
      <c r="B204" s="994" t="s">
        <v>142</v>
      </c>
      <c r="C204" s="994" t="s">
        <v>142</v>
      </c>
      <c r="D204" s="994" t="s">
        <v>142</v>
      </c>
      <c r="E204" s="994" t="s">
        <v>142</v>
      </c>
      <c r="F204" s="1642">
        <v>16</v>
      </c>
      <c r="G204" s="1643">
        <v>0</v>
      </c>
      <c r="H204" s="1642">
        <v>3</v>
      </c>
      <c r="I204" s="1638">
        <v>7</v>
      </c>
      <c r="J204" s="1638">
        <v>56</v>
      </c>
      <c r="K204" s="1638">
        <v>10</v>
      </c>
      <c r="L204" s="1638">
        <v>40</v>
      </c>
      <c r="M204" s="1638">
        <v>40</v>
      </c>
      <c r="N204" s="1373">
        <v>9</v>
      </c>
      <c r="O204" s="1638">
        <v>102</v>
      </c>
      <c r="P204" s="1373">
        <v>9</v>
      </c>
      <c r="Q204" s="1643">
        <v>5</v>
      </c>
      <c r="R204" s="1643">
        <v>3</v>
      </c>
      <c r="S204" s="1373">
        <v>3</v>
      </c>
      <c r="T204" s="1373">
        <v>3</v>
      </c>
      <c r="U204" s="1373">
        <v>3</v>
      </c>
      <c r="V204" s="1373">
        <v>3</v>
      </c>
      <c r="W204" s="1643">
        <v>10</v>
      </c>
      <c r="X204" s="1373">
        <v>34</v>
      </c>
      <c r="Y204" s="1373">
        <v>9</v>
      </c>
      <c r="Z204" s="551">
        <v>8</v>
      </c>
      <c r="AA204" s="1373">
        <v>8</v>
      </c>
      <c r="AB204" s="1373">
        <v>8</v>
      </c>
      <c r="AC204" s="1373">
        <v>8</v>
      </c>
      <c r="AD204" s="1373">
        <v>8</v>
      </c>
      <c r="AE204" s="1373">
        <v>8</v>
      </c>
      <c r="AF204" s="1639">
        <v>8</v>
      </c>
      <c r="AG204" s="1639">
        <v>8</v>
      </c>
      <c r="AH204" s="1639">
        <v>8</v>
      </c>
      <c r="AI204" s="1639">
        <v>8</v>
      </c>
      <c r="AJ204" s="1639">
        <v>8</v>
      </c>
      <c r="AK204" s="1638">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D191B3-2F8F-BF77-269E-E14A0264FD64}"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42" width="10.57421875" hidden="1"/>
    <col min="5" max="5" style="2404" width="9.140625" hidden="1" customWidth="1"/>
    <col min="6" max="7" style="1373" width="9.140625" hidden="1" customWidth="1"/>
    <col min="8" max="8" style="351" width="3.00390625" customWidth="1"/>
    <col min="9" max="9" style="1642" width="6.00390625" customWidth="1"/>
    <col min="10" max="10" style="1642" width="63.00390625" customWidth="1"/>
    <col min="11" max="11" style="1642" width="9.00390625" customWidth="1"/>
    <col min="12" max="12" style="1642" width="39.00390625" customWidth="1"/>
    <col min="13" max="13" style="1642" width="89.00390625" customWidth="1"/>
    <col min="14" max="14" style="1642" width="10.00390625" customWidth="1"/>
    <col min="15" max="16" style="1631" width="10.00390625" customWidth="1"/>
    <col min="17" max="22" style="1642" width="10.00390625" customWidth="1"/>
    <col min="23" max="23" style="1642" width="10.57421875" hidden="1"/>
  </cols>
  <sheetData>
    <row customHeight="1" ht="22.5" hidden="1">
      <c r="S1" s="262"/>
      <c r="T1" s="262"/>
      <c r="V1" s="262"/>
      <c r="W1" s="1638" t="s">
        <v>14</v>
      </c>
    </row>
    <row customHeight="1" ht="22.5" hidden="1">
      <c r="B2" s="2060" t="s">
        <v>849</v>
      </c>
      <c r="C2" s="2060" t="s">
        <v>850</v>
      </c>
      <c r="D2" s="2059" t="s">
        <v>789</v>
      </c>
      <c r="E2" s="2065">
        <f>I2-3</f>
        <v>-3</v>
      </c>
      <c r="F2" s="2065">
        <f>J2</f>
        <v>0</v>
      </c>
      <c r="H2" s="1737" t="s">
        <v>102</v>
      </c>
      <c r="I2" s="2031"/>
      <c r="J2" s="1689"/>
      <c r="K2" s="2025" t="s">
        <v>469</v>
      </c>
      <c r="L2" s="1171"/>
      <c r="M2" s="304"/>
      <c r="N2" s="1631"/>
      <c r="P2" s="1638"/>
      <c r="W2" s="1638">
        <v>0</v>
      </c>
    </row>
    <row customHeight="1" ht="14.25" hidden="1">
      <c r="W3" s="1638">
        <v>0</v>
      </c>
    </row>
    <row customHeight="1" ht="6.3">
      <c r="H4" s="383"/>
      <c r="I4" s="464"/>
      <c r="J4" s="464"/>
      <c r="K4" s="464"/>
      <c r="L4" s="92"/>
      <c r="M4" s="92"/>
      <c r="W4" s="1638">
        <v>6</v>
      </c>
    </row>
    <row customHeight="1" ht="50.25">
      <c r="H5" s="383"/>
      <c r="I5" s="2255" t="s">
        <v>851</v>
      </c>
      <c r="J5" s="2255"/>
      <c r="K5" s="2255"/>
      <c r="L5" s="2255"/>
      <c r="M5" s="273"/>
      <c r="W5" s="1638">
        <v>48</v>
      </c>
    </row>
    <row customHeight="1" ht="18">
      <c r="H6" s="383"/>
      <c r="I6" s="2256" t="str">
        <f>IF(org=0,"Не определено",org)</f>
        <v>ГУП "Белоблводоканал"</v>
      </c>
      <c r="J6" s="2256"/>
      <c r="K6" s="2256"/>
      <c r="L6" s="2256"/>
      <c r="M6" s="273"/>
      <c r="W6" s="1638">
        <v>17</v>
      </c>
    </row>
    <row customHeight="1" ht="14.699999999999998">
      <c r="H7" s="383"/>
      <c r="I7" s="464"/>
      <c r="J7" s="470"/>
      <c r="K7" s="470"/>
      <c r="L7" s="759"/>
      <c r="M7" s="200"/>
      <c r="W7" s="1638">
        <v>14</v>
      </c>
    </row>
    <row customHeight="1" ht="14.699999999999998">
      <c r="H8" s="383"/>
      <c r="I8" s="2393" t="s">
        <v>463</v>
      </c>
      <c r="J8" s="2394"/>
      <c r="K8" s="2394"/>
      <c r="L8" s="2395"/>
      <c r="M8" s="2396" t="s">
        <v>464</v>
      </c>
      <c r="W8" s="1638">
        <v>14</v>
      </c>
    </row>
    <row customHeight="1" ht="35.699999999999996">
      <c r="E9" s="2058" t="s">
        <v>780</v>
      </c>
      <c r="F9" s="2058" t="s">
        <v>786</v>
      </c>
      <c r="H9" s="383"/>
      <c r="I9" s="2032" t="s">
        <v>88</v>
      </c>
      <c r="J9" s="2033" t="s">
        <v>465</v>
      </c>
      <c r="K9" s="2071" t="s">
        <v>728</v>
      </c>
      <c r="L9" s="2072" t="s">
        <v>466</v>
      </c>
      <c r="M9" s="2396"/>
      <c r="W9" s="1638">
        <v>34</v>
      </c>
    </row>
    <row customHeight="1" ht="35.699999999999996">
      <c r="B10" s="2060" t="s">
        <v>852</v>
      </c>
      <c r="C10" s="2060" t="s">
        <v>853</v>
      </c>
      <c r="D10" s="2059" t="s">
        <v>789</v>
      </c>
      <c r="E10" s="2063" t="s">
        <v>790</v>
      </c>
      <c r="F10" s="2063" t="s">
        <v>790</v>
      </c>
      <c r="H10" s="383"/>
      <c r="I10" s="2031" t="s">
        <v>108</v>
      </c>
      <c r="J10" s="1893" t="s">
        <v>854</v>
      </c>
      <c r="K10" s="2025" t="s">
        <v>469</v>
      </c>
      <c r="L10" s="825"/>
      <c r="M10" s="304" t="s">
        <v>855</v>
      </c>
      <c r="W10" s="1638">
        <v>34</v>
      </c>
    </row>
    <row customHeight="1" ht="50.25">
      <c r="B11" s="2060" t="s">
        <v>856</v>
      </c>
      <c r="C11" s="2060" t="s">
        <v>857</v>
      </c>
      <c r="D11" s="2059" t="s">
        <v>789</v>
      </c>
      <c r="E11" s="2063" t="s">
        <v>790</v>
      </c>
      <c r="F11" s="2063" t="s">
        <v>790</v>
      </c>
      <c r="H11" s="383"/>
      <c r="I11" s="2031" t="s">
        <v>99</v>
      </c>
      <c r="J11" s="1893" t="s">
        <v>858</v>
      </c>
      <c r="K11" s="2025" t="s">
        <v>469</v>
      </c>
      <c r="L11" s="825"/>
      <c r="M11" s="304" t="s">
        <v>855</v>
      </c>
      <c r="W11" s="1638">
        <v>48</v>
      </c>
    </row>
    <row customHeight="1" ht="48.29999999999999">
      <c r="B12" s="2060" t="s">
        <v>859</v>
      </c>
      <c r="C12" s="2060" t="s">
        <v>860</v>
      </c>
      <c r="D12" s="2059" t="s">
        <v>789</v>
      </c>
      <c r="E12" s="2063" t="s">
        <v>790</v>
      </c>
      <c r="F12" s="2063" t="s">
        <v>790</v>
      </c>
      <c r="H12" s="1695"/>
      <c r="I12" s="2031" t="s">
        <v>90</v>
      </c>
      <c r="J12" s="2038" t="s">
        <v>861</v>
      </c>
      <c r="K12" s="2025" t="s">
        <v>469</v>
      </c>
      <c r="L12" s="825"/>
      <c r="M12" s="304" t="s">
        <v>862</v>
      </c>
      <c r="N12" s="1631"/>
      <c r="P12" s="1638"/>
      <c r="W12" s="1638">
        <v>46</v>
      </c>
    </row>
    <row customHeight="1" ht="14.699999999999998">
      <c r="E13" s="350"/>
      <c r="H13" s="383"/>
      <c r="I13" s="354"/>
      <c r="J13" s="658" t="s">
        <v>863</v>
      </c>
      <c r="K13" s="578"/>
      <c r="L13" s="221"/>
      <c r="M13" s="304"/>
      <c r="W13" s="1638">
        <v>14</v>
      </c>
    </row>
    <row customHeight="1" ht="14.699999999999998">
      <c r="E14" s="350"/>
      <c r="H14" s="383"/>
      <c r="I14" s="1064"/>
      <c r="J14" s="1684"/>
      <c r="K14" s="1685"/>
      <c r="L14" s="1686"/>
      <c r="M14" s="2035"/>
      <c r="W14" s="1638">
        <v>14</v>
      </c>
    </row>
    <row customHeight="1" ht="14.699999999999998">
      <c r="I15" s="1688"/>
      <c r="J15" s="2392"/>
      <c r="K15" s="2392"/>
      <c r="L15" s="2392"/>
      <c r="M15" s="2392"/>
      <c r="W15" s="1638">
        <v>14</v>
      </c>
    </row>
    <row customHeight="1" ht="21" hidden="1">
      <c r="A16" s="2037" t="s">
        <v>82</v>
      </c>
      <c r="B16" s="1638">
        <v>9</v>
      </c>
      <c r="C16" s="1638">
        <v>9</v>
      </c>
      <c r="D16" s="1638">
        <v>9</v>
      </c>
      <c r="E16" s="2037" t="s">
        <v>137</v>
      </c>
      <c r="F16" s="2062" t="s">
        <v>137</v>
      </c>
      <c r="G16" s="2064"/>
      <c r="H16" s="351">
        <v>3</v>
      </c>
      <c r="I16" s="1638">
        <v>6</v>
      </c>
      <c r="J16" s="1638">
        <v>63</v>
      </c>
      <c r="K16" s="1638">
        <v>9</v>
      </c>
      <c r="L16" s="1638">
        <v>39</v>
      </c>
      <c r="M16" s="1638">
        <v>89</v>
      </c>
      <c r="N16" s="1638">
        <v>10</v>
      </c>
      <c r="O16" s="1631">
        <v>10</v>
      </c>
      <c r="P16" s="1631">
        <v>10</v>
      </c>
      <c r="Q16" s="1638">
        <v>10</v>
      </c>
      <c r="R16" s="1638">
        <v>10</v>
      </c>
      <c r="S16" s="1638">
        <v>10</v>
      </c>
      <c r="T16" s="1638">
        <v>10</v>
      </c>
      <c r="U16" s="1638">
        <v>10</v>
      </c>
      <c r="V16" s="1638">
        <v>10</v>
      </c>
      <c r="W16" s="1638">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9F14C7-F1DE-83C4-225C-87B2BB030347}"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4" width="10.7109375" hidden="1" customWidth="1"/>
    <col min="2" max="2" style="1373" width="16.8515625" hidden="1" customWidth="1"/>
    <col min="3" max="3" style="1649" width="5.57421875" hidden="1" customWidth="1"/>
    <col min="4" max="4" style="1642" width="3.00390625" customWidth="1"/>
    <col min="5" max="5" style="1642" width="7.00390625" customWidth="1"/>
    <col min="6" max="6" style="1642" width="56.00390625" customWidth="1"/>
    <col min="7" max="7" style="1642" width="10.00390625" customWidth="1"/>
    <col min="8" max="8" style="1642" width="40.7109375" hidden="1" customWidth="1"/>
    <col min="9" max="9" style="1642" width="40.00390625" customWidth="1"/>
    <col min="10" max="10" style="1642" width="102.00390625" customWidth="1"/>
    <col min="11" max="11" style="1373" width="9.00390625" customWidth="1"/>
    <col min="12" max="12" style="1649" width="5.00390625" customWidth="1"/>
    <col min="13" max="13" style="1649" width="3.00390625" customWidth="1"/>
    <col min="14" max="17" style="1373" width="3.00390625" customWidth="1"/>
    <col min="18" max="18" style="1649" width="10.00390625" customWidth="1"/>
    <col min="19" max="19" style="1373" width="34.00390625" customWidth="1"/>
    <col min="20" max="20" style="1373" width="9.00390625" customWidth="1"/>
    <col min="21" max="21" style="743" width="8.00390625" customWidth="1"/>
    <col min="22" max="26" style="1373" width="8.00390625" customWidth="1"/>
    <col min="27" max="31" style="1639" width="8.00390625" customWidth="1"/>
    <col min="32" max="32" style="1642" width="10.421875" hidden="1" customWidth="1"/>
  </cols>
  <sheetData>
    <row s="1373" customFormat="1" customHeight="1" ht="22.5" hidden="1">
      <c r="A1" s="994"/>
      <c r="C1" s="1643"/>
      <c r="D1" s="544"/>
      <c r="H1" s="1167">
        <v>4</v>
      </c>
      <c r="I1" s="1167">
        <v>4</v>
      </c>
      <c r="L1" s="1643"/>
      <c r="M1" s="1643"/>
      <c r="R1" s="1643"/>
      <c r="AF1" s="1167" t="s">
        <v>14</v>
      </c>
    </row>
    <row s="1373" customFormat="1" customHeight="1" ht="22.5" hidden="1">
      <c r="A2" s="994"/>
      <c r="C2" s="1643"/>
      <c r="D2" s="545"/>
      <c r="E2" s="1644"/>
      <c r="F2" s="547"/>
      <c r="G2" s="1646" t="s">
        <v>714</v>
      </c>
      <c r="H2" s="548"/>
      <c r="I2" s="548"/>
      <c r="J2" s="549" t="s">
        <v>864</v>
      </c>
      <c r="K2" s="550"/>
      <c r="L2" s="1643"/>
      <c r="M2" s="1643"/>
      <c r="R2" s="1643"/>
      <c r="U2" s="551"/>
      <c r="AA2" s="1639"/>
      <c r="AB2" s="1639"/>
      <c r="AC2" s="1639"/>
      <c r="AD2" s="1639"/>
      <c r="AE2" s="1639"/>
      <c r="AF2" s="1167">
        <v>0</v>
      </c>
    </row>
    <row customHeight="1" ht="11.25" hidden="1">
      <c r="AF3" s="1638">
        <v>0</v>
      </c>
    </row>
    <row s="1639" customFormat="1" customHeight="1" ht="11.25" hidden="1">
      <c r="A4" s="994"/>
      <c r="B4" s="1167"/>
      <c r="C4" s="1643"/>
      <c r="D4" s="369"/>
      <c r="J4" s="1639">
        <v>4</v>
      </c>
      <c r="K4" s="1167"/>
      <c r="L4" s="1643"/>
      <c r="M4" s="1643"/>
      <c r="N4" s="1167"/>
      <c r="O4" s="1167"/>
      <c r="P4" s="1167"/>
      <c r="Q4" s="1167"/>
      <c r="R4" s="1643"/>
      <c r="S4" s="1167"/>
      <c r="T4" s="1167"/>
      <c r="U4" s="551"/>
      <c r="V4" s="1167"/>
      <c r="W4" s="1167"/>
      <c r="X4" s="1167"/>
      <c r="Y4" s="1167"/>
      <c r="Z4" s="1167"/>
      <c r="AF4" s="1639">
        <v>0</v>
      </c>
    </row>
    <row customHeight="1" ht="11.549999999999999">
      <c r="AF5" s="1638">
        <v>11</v>
      </c>
    </row>
    <row customHeight="1" ht="31.5">
      <c r="E6" s="2314" t="s">
        <v>865</v>
      </c>
      <c r="F6" s="2314"/>
      <c r="G6" s="2314"/>
      <c r="H6" s="2314"/>
      <c r="I6" s="2314"/>
      <c r="J6" s="563"/>
      <c r="AF6" s="1638">
        <v>30</v>
      </c>
    </row>
    <row customHeight="1" ht="11.549999999999999">
      <c r="E7" s="2256" t="str">
        <f>IF(org=0,"Не определено",org)</f>
        <v>ГУП "Белоблводоканал"</v>
      </c>
      <c r="F7" s="2256"/>
      <c r="G7" s="2256"/>
      <c r="H7" s="2256"/>
      <c r="I7" s="2256"/>
      <c r="AF7" s="1638">
        <v>11</v>
      </c>
    </row>
    <row customHeight="1" ht="11.549999999999999">
      <c r="E8" s="1142"/>
      <c r="F8" s="1142"/>
      <c r="G8" s="1142"/>
      <c r="H8" s="1142"/>
      <c r="I8" s="1142"/>
      <c r="AF8" s="1638">
        <v>11</v>
      </c>
    </row>
    <row s="1649" customFormat="1" customHeight="1" ht="4.2">
      <c r="A9" s="1174"/>
      <c r="D9" s="1649"/>
      <c r="H9" s="896"/>
      <c r="I9" s="896" t="s">
        <v>209</v>
      </c>
      <c r="AF9" s="1643">
        <v>4</v>
      </c>
    </row>
    <row customHeight="1" ht="11.549999999999999">
      <c r="E10" s="718"/>
      <c r="F10" s="2374" t="s">
        <v>201</v>
      </c>
      <c r="G10" s="2375"/>
      <c r="H10" s="1559" t="str">
        <f>IF(H9="","",INDEX(DIFFERENTIATION_UNMERGE_VD,MATCH(H9,DIFFERENTIATION_ID_DIFF,0)))</f>
        <v/>
      </c>
      <c r="I10" s="1559">
        <f>IF(I9="","",INDEX(DIFFERENTIATION_UNMERGE_VD,MATCH(I9,DIFFERENTIATION_ID_DIFF,0)))</f>
        <v>0</v>
      </c>
      <c r="J10" s="2134"/>
      <c r="AF10" s="1638">
        <v>11</v>
      </c>
    </row>
    <row customHeight="1" ht="11.549999999999999">
      <c r="E11" s="718"/>
      <c r="F11" s="2374" t="s">
        <v>726</v>
      </c>
      <c r="G11" s="2375"/>
      <c r="H11" s="1559" t="str">
        <f>IF(H9="","",INDEX(DIFFERENTIATION_UNMERGE_AREA,MATCH(H9,DIFFERENTIATION_ID_DIFF,0)))</f>
        <v/>
      </c>
      <c r="I11" s="1559" t="str">
        <f>IF(I9="","",INDEX(DIFFERENTIATION_UNMERGE_AREA,MATCH(I9,DIFFERENTIATION_ID_DIFF,0)))</f>
        <v/>
      </c>
      <c r="J11" s="2134"/>
      <c r="AF11" s="1638">
        <v>11</v>
      </c>
    </row>
    <row customHeight="1" ht="1.05">
      <c r="E12" s="1669"/>
      <c r="F12" s="2397" t="s">
        <v>727</v>
      </c>
      <c r="G12" s="2398"/>
      <c r="H12" s="1670" t="str">
        <f>IF(H9="","",INDEX(DIFFERENTIATION_UNMERGE_SYSTEM,MATCH(H9,DIFFERENTIATION_ID_DIFF,0)))</f>
        <v/>
      </c>
      <c r="I12" s="1670" t="str">
        <f>IF(I9="","",INDEX(DIFFERENTIATION_UNMERGE_SYSTEM,MATCH(I9,DIFFERENTIATION_ID_DIFF,0)))</f>
        <v>без дифференциации</v>
      </c>
      <c r="J12" s="2134"/>
      <c r="AF12" s="1638">
        <v>1</v>
      </c>
    </row>
    <row customHeight="1" ht="11.549999999999999">
      <c r="E13" s="2376" t="s">
        <v>463</v>
      </c>
      <c r="F13" s="2377"/>
      <c r="G13" s="2377"/>
      <c r="H13" s="1558"/>
      <c r="I13" s="1558"/>
      <c r="J13" s="2134"/>
      <c r="AF13" s="1638">
        <v>11</v>
      </c>
    </row>
    <row customHeight="1" ht="24">
      <c r="E14" s="1646" t="s">
        <v>88</v>
      </c>
      <c r="F14" s="1641" t="s">
        <v>465</v>
      </c>
      <c r="G14" s="1641" t="s">
        <v>728</v>
      </c>
      <c r="H14" s="1641" t="s">
        <v>466</v>
      </c>
      <c r="I14" s="1641" t="s">
        <v>466</v>
      </c>
      <c r="J14" s="2134"/>
      <c r="AF14" s="1638">
        <v>23</v>
      </c>
    </row>
    <row customHeight="1" ht="19.95">
      <c r="D15" s="1645"/>
      <c r="E15" s="1637" t="s">
        <v>108</v>
      </c>
      <c r="F15" s="714" t="s">
        <v>866</v>
      </c>
      <c r="G15" s="1653" t="s">
        <v>714</v>
      </c>
      <c r="H15" s="564"/>
      <c r="I15" s="564"/>
      <c r="J15" s="296" t="s">
        <v>867</v>
      </c>
      <c r="K15" s="550" t="s">
        <v>792</v>
      </c>
      <c r="AF15" s="1638">
        <v>19</v>
      </c>
    </row>
    <row customHeight="1" ht="35.699999999999996">
      <c r="D16" s="1645"/>
      <c r="E16" s="1637" t="s">
        <v>99</v>
      </c>
      <c r="F16" s="714" t="s">
        <v>868</v>
      </c>
      <c r="G16" s="1653" t="s">
        <v>714</v>
      </c>
      <c r="H16" s="565">
        <f>SUM(H17,H20:H32)</f>
        <v>0</v>
      </c>
      <c r="I16" s="565">
        <f>SUM(I17,I20,I23,I26,I29:I32)</f>
        <v>0</v>
      </c>
      <c r="J16" s="296" t="s">
        <v>869</v>
      </c>
      <c r="K16" s="550" t="s">
        <v>792</v>
      </c>
      <c r="AF16" s="1638">
        <v>34</v>
      </c>
    </row>
    <row customHeight="1" ht="19.95">
      <c r="D17" s="1645"/>
      <c r="E17" s="1671" t="s">
        <v>870</v>
      </c>
      <c r="F17" s="961" t="s">
        <v>871</v>
      </c>
      <c r="G17" s="1650" t="s">
        <v>714</v>
      </c>
      <c r="H17" s="564"/>
      <c r="I17" s="564"/>
      <c r="J17" s="296" t="s">
        <v>872</v>
      </c>
      <c r="K17" s="550"/>
      <c r="AF17" s="1638">
        <v>19</v>
      </c>
    </row>
    <row customHeight="1" ht="24">
      <c r="D18" s="1645"/>
      <c r="E18" s="1671" t="s">
        <v>873</v>
      </c>
      <c r="F18" s="1657" t="s">
        <v>874</v>
      </c>
      <c r="G18" s="1650" t="s">
        <v>714</v>
      </c>
      <c r="H18" s="564"/>
      <c r="I18" s="564"/>
      <c r="J18" s="296" t="s">
        <v>875</v>
      </c>
      <c r="K18" s="550"/>
      <c r="AF18" s="1638">
        <v>23</v>
      </c>
    </row>
    <row customHeight="1" ht="35.699999999999996">
      <c r="D19" s="1645"/>
      <c r="E19" s="1671" t="s">
        <v>876</v>
      </c>
      <c r="F19" s="1657" t="s">
        <v>877</v>
      </c>
      <c r="G19" s="1650" t="s">
        <v>714</v>
      </c>
      <c r="H19" s="564"/>
      <c r="I19" s="564"/>
      <c r="J19" s="296"/>
      <c r="K19" s="550"/>
      <c r="AF19" s="1638">
        <v>34</v>
      </c>
    </row>
    <row customHeight="1" ht="19.95">
      <c r="D20" s="1645"/>
      <c r="E20" s="1671" t="s">
        <v>470</v>
      </c>
      <c r="F20" s="961" t="s">
        <v>878</v>
      </c>
      <c r="G20" s="1650" t="s">
        <v>714</v>
      </c>
      <c r="H20" s="564"/>
      <c r="I20" s="564"/>
      <c r="J20" s="296" t="s">
        <v>879</v>
      </c>
      <c r="K20" s="550"/>
      <c r="AF20" s="1638">
        <v>19</v>
      </c>
    </row>
    <row customHeight="1" ht="19.95">
      <c r="D21" s="1645"/>
      <c r="E21" s="1671" t="s">
        <v>880</v>
      </c>
      <c r="F21" s="1657" t="s">
        <v>881</v>
      </c>
      <c r="G21" s="1650" t="s">
        <v>714</v>
      </c>
      <c r="H21" s="564"/>
      <c r="I21" s="564"/>
      <c r="J21" s="296"/>
      <c r="K21" s="550"/>
      <c r="AF21" s="1638">
        <v>19</v>
      </c>
    </row>
    <row customHeight="1" ht="19.95">
      <c r="D22" s="1645"/>
      <c r="E22" s="1671" t="s">
        <v>882</v>
      </c>
      <c r="F22" s="1657" t="s">
        <v>883</v>
      </c>
      <c r="G22" s="1650" t="s">
        <v>714</v>
      </c>
      <c r="H22" s="564"/>
      <c r="I22" s="564"/>
      <c r="J22" s="296"/>
      <c r="K22" s="550"/>
      <c r="AF22" s="1638">
        <v>19</v>
      </c>
    </row>
    <row customHeight="1" ht="24">
      <c r="D23" s="1645"/>
      <c r="E23" s="1671" t="s">
        <v>473</v>
      </c>
      <c r="F23" s="961" t="s">
        <v>884</v>
      </c>
      <c r="G23" s="1650" t="s">
        <v>714</v>
      </c>
      <c r="H23" s="564"/>
      <c r="I23" s="564"/>
      <c r="J23" s="296" t="s">
        <v>885</v>
      </c>
      <c r="K23" s="550"/>
      <c r="AF23" s="1638">
        <v>23</v>
      </c>
    </row>
    <row customHeight="1" ht="19.95">
      <c r="D24" s="1645"/>
      <c r="E24" s="1671" t="s">
        <v>886</v>
      </c>
      <c r="F24" s="1657" t="s">
        <v>887</v>
      </c>
      <c r="G24" s="1650" t="s">
        <v>714</v>
      </c>
      <c r="H24" s="564"/>
      <c r="I24" s="564"/>
      <c r="J24" s="296"/>
      <c r="K24" s="550"/>
      <c r="AF24" s="1638">
        <v>19</v>
      </c>
    </row>
    <row customHeight="1" ht="35.699999999999996">
      <c r="D25" s="1645"/>
      <c r="E25" s="1671" t="s">
        <v>888</v>
      </c>
      <c r="F25" s="1657" t="s">
        <v>889</v>
      </c>
      <c r="G25" s="1650" t="s">
        <v>714</v>
      </c>
      <c r="H25" s="564"/>
      <c r="I25" s="564"/>
      <c r="J25" s="296"/>
      <c r="K25" s="550"/>
      <c r="AF25" s="1638">
        <v>34</v>
      </c>
    </row>
    <row customHeight="1" ht="24">
      <c r="D26" s="1645"/>
      <c r="E26" s="1671" t="s">
        <v>890</v>
      </c>
      <c r="F26" s="961" t="s">
        <v>891</v>
      </c>
      <c r="G26" s="1650" t="s">
        <v>714</v>
      </c>
      <c r="H26" s="564"/>
      <c r="I26" s="564"/>
      <c r="J26" s="296" t="s">
        <v>892</v>
      </c>
      <c r="K26" s="550"/>
      <c r="AF26" s="1638">
        <v>23</v>
      </c>
    </row>
    <row customHeight="1" ht="19.95">
      <c r="D27" s="1645"/>
      <c r="E27" s="1682" t="s">
        <v>893</v>
      </c>
      <c r="F27" s="1657" t="s">
        <v>894</v>
      </c>
      <c r="G27" s="1661" t="s">
        <v>714</v>
      </c>
      <c r="H27" s="1683"/>
      <c r="I27" s="1683"/>
      <c r="J27" s="296"/>
      <c r="K27" s="550"/>
      <c r="AF27" s="1638">
        <v>19</v>
      </c>
    </row>
    <row customHeight="1" ht="19.95">
      <c r="D28" s="1645"/>
      <c r="E28" s="1682" t="s">
        <v>895</v>
      </c>
      <c r="F28" s="1657" t="s">
        <v>896</v>
      </c>
      <c r="G28" s="1661" t="s">
        <v>714</v>
      </c>
      <c r="H28" s="1683"/>
      <c r="I28" s="1683"/>
      <c r="J28" s="296"/>
      <c r="K28" s="550"/>
      <c r="AF28" s="1638">
        <v>19</v>
      </c>
    </row>
    <row customHeight="1" ht="19.95">
      <c r="D29" s="1645"/>
      <c r="E29" s="1682" t="s">
        <v>897</v>
      </c>
      <c r="F29" s="961" t="s">
        <v>898</v>
      </c>
      <c r="G29" s="1661" t="s">
        <v>714</v>
      </c>
      <c r="H29" s="1683"/>
      <c r="I29" s="1683"/>
      <c r="J29" s="296"/>
      <c r="K29" s="550"/>
      <c r="AF29" s="1638">
        <v>19</v>
      </c>
    </row>
    <row customHeight="1" ht="19.95">
      <c r="D30" s="1645"/>
      <c r="E30" s="1682" t="s">
        <v>899</v>
      </c>
      <c r="F30" s="961" t="s">
        <v>900</v>
      </c>
      <c r="G30" s="1661" t="s">
        <v>714</v>
      </c>
      <c r="H30" s="1683"/>
      <c r="I30" s="1683"/>
      <c r="J30" s="296"/>
      <c r="K30" s="550"/>
      <c r="AF30" s="1638">
        <v>19</v>
      </c>
    </row>
    <row customHeight="1" ht="19.95">
      <c r="D31" s="1645"/>
      <c r="E31" s="1682" t="s">
        <v>901</v>
      </c>
      <c r="F31" s="961" t="s">
        <v>902</v>
      </c>
      <c r="G31" s="1661" t="s">
        <v>714</v>
      </c>
      <c r="H31" s="1683"/>
      <c r="I31" s="1683"/>
      <c r="J31" s="296"/>
      <c r="K31" s="550"/>
      <c r="AF31" s="1638">
        <v>19</v>
      </c>
    </row>
    <row s="1373" customFormat="1" customHeight="1" ht="35.699999999999996">
      <c r="A32" s="994"/>
      <c r="C32" s="1643"/>
      <c r="D32" s="1645"/>
      <c r="E32" s="1682" t="s">
        <v>903</v>
      </c>
      <c r="F32" s="961" t="s">
        <v>904</v>
      </c>
      <c r="G32" s="1651" t="s">
        <v>714</v>
      </c>
      <c r="H32" s="586">
        <f>SUM(H33:H34)</f>
        <v>0</v>
      </c>
      <c r="I32" s="586">
        <f>SUM(I33:I34)</f>
        <v>0</v>
      </c>
      <c r="J32" s="296" t="s">
        <v>905</v>
      </c>
      <c r="K32" s="550"/>
      <c r="L32" s="1643"/>
      <c r="M32" s="1643"/>
      <c r="R32" s="1643"/>
      <c r="U32" s="551"/>
      <c r="AA32" s="1639"/>
      <c r="AB32" s="1639"/>
      <c r="AC32" s="1639"/>
      <c r="AD32" s="1639"/>
      <c r="AE32" s="1639"/>
      <c r="AF32" s="1167">
        <v>34</v>
      </c>
    </row>
    <row s="1649" customFormat="1" customHeight="1" ht="1.05">
      <c r="A33" s="1174"/>
      <c r="D33" s="555"/>
      <c r="E33" s="809" t="str">
        <f>E32&amp;".0"</f>
        <v>2.8.0</v>
      </c>
      <c r="F33" s="998"/>
      <c r="G33" s="558"/>
      <c r="H33" s="999"/>
      <c r="I33" s="999"/>
      <c r="J33" s="1000"/>
      <c r="AF33" s="1643">
        <v>1</v>
      </c>
    </row>
    <row s="1373" customFormat="1" customHeight="1" ht="19.95">
      <c r="A34" s="994"/>
      <c r="C34" s="1643"/>
      <c r="D34" s="1640"/>
      <c r="E34" s="577"/>
      <c r="F34" s="1673" t="s">
        <v>739</v>
      </c>
      <c r="G34" s="579"/>
      <c r="H34" s="580"/>
      <c r="I34" s="580"/>
      <c r="J34" s="308" t="s">
        <v>906</v>
      </c>
      <c r="K34" s="550"/>
      <c r="L34" s="1643"/>
      <c r="M34" s="1643"/>
      <c r="R34" s="1643"/>
      <c r="U34" s="551"/>
      <c r="AA34" s="1639"/>
      <c r="AB34" s="1639"/>
      <c r="AC34" s="1639"/>
      <c r="AD34" s="1639"/>
      <c r="AE34" s="1639"/>
      <c r="AF34" s="1167">
        <v>19</v>
      </c>
    </row>
    <row customHeight="1" ht="60">
      <c r="D35" s="1645"/>
      <c r="E35" s="1682" t="s">
        <v>907</v>
      </c>
      <c r="F35" s="961" t="s">
        <v>908</v>
      </c>
      <c r="G35" s="1661" t="s">
        <v>714</v>
      </c>
      <c r="H35" s="1683"/>
      <c r="I35" s="1683"/>
      <c r="J35" s="296" t="s">
        <v>909</v>
      </c>
      <c r="K35" s="550"/>
      <c r="AF35" s="1638">
        <v>57</v>
      </c>
    </row>
    <row s="1373" customFormat="1" customHeight="1" ht="24">
      <c r="A36" s="996" t="s">
        <v>740</v>
      </c>
      <c r="C36" s="1643"/>
      <c r="D36" s="1645"/>
      <c r="E36" s="1671" t="s">
        <v>90</v>
      </c>
      <c r="F36" s="714" t="s">
        <v>910</v>
      </c>
      <c r="G36" s="1650" t="s">
        <v>714</v>
      </c>
      <c r="H36" s="564"/>
      <c r="I36" s="564"/>
      <c r="J36" s="296" t="s">
        <v>911</v>
      </c>
      <c r="K36" s="550"/>
      <c r="L36" s="1643"/>
      <c r="M36" s="1643"/>
      <c r="R36" s="1643"/>
      <c r="U36" s="551"/>
      <c r="AA36" s="1639"/>
      <c r="AB36" s="1639"/>
      <c r="AC36" s="1639"/>
      <c r="AD36" s="1639"/>
      <c r="AE36" s="1639"/>
      <c r="AF36" s="1167">
        <v>23</v>
      </c>
    </row>
    <row s="1373" customFormat="1" customHeight="1" ht="35.699999999999996">
      <c r="A37" s="996"/>
      <c r="C37" s="1643"/>
      <c r="D37" s="1645"/>
      <c r="E37" s="1671" t="s">
        <v>487</v>
      </c>
      <c r="F37" s="961" t="s">
        <v>912</v>
      </c>
      <c r="G37" s="1661"/>
      <c r="H37" s="564"/>
      <c r="I37" s="564"/>
      <c r="J37" s="296"/>
      <c r="K37" s="550"/>
      <c r="L37" s="1643"/>
      <c r="M37" s="1643"/>
      <c r="R37" s="1643"/>
      <c r="U37" s="551"/>
      <c r="AA37" s="1639"/>
      <c r="AB37" s="1639"/>
      <c r="AC37" s="1639"/>
      <c r="AD37" s="1639"/>
      <c r="AE37" s="1639"/>
      <c r="AF37" s="1167">
        <v>34</v>
      </c>
    </row>
    <row s="1373" customFormat="1" customHeight="1" ht="19.95">
      <c r="A38" s="994"/>
      <c r="C38" s="1643"/>
      <c r="D38" s="582"/>
      <c r="E38" s="1671" t="s">
        <v>91</v>
      </c>
      <c r="F38" s="714" t="s">
        <v>913</v>
      </c>
      <c r="G38" s="1650" t="s">
        <v>714</v>
      </c>
      <c r="H38" s="564"/>
      <c r="I38" s="564"/>
      <c r="J38" s="296" t="s">
        <v>914</v>
      </c>
      <c r="K38" s="550"/>
      <c r="L38" s="1643"/>
      <c r="M38" s="1643"/>
      <c r="R38" s="1643"/>
      <c r="U38" s="551"/>
      <c r="AA38" s="1639"/>
      <c r="AB38" s="1639"/>
      <c r="AC38" s="1639"/>
      <c r="AD38" s="1639"/>
      <c r="AE38" s="1639"/>
      <c r="AF38" s="1167">
        <v>19</v>
      </c>
    </row>
    <row s="1373" customFormat="1" customHeight="1" ht="24">
      <c r="A39" s="994"/>
      <c r="C39" s="1643"/>
      <c r="D39" s="582"/>
      <c r="E39" s="1671" t="s">
        <v>915</v>
      </c>
      <c r="F39" s="961" t="s">
        <v>916</v>
      </c>
      <c r="G39" s="1661" t="s">
        <v>714</v>
      </c>
      <c r="H39" s="564"/>
      <c r="I39" s="564"/>
      <c r="J39" s="296" t="s">
        <v>917</v>
      </c>
      <c r="K39" s="550"/>
      <c r="L39" s="1643"/>
      <c r="M39" s="1643"/>
      <c r="R39" s="1643"/>
      <c r="U39" s="551"/>
      <c r="AA39" s="1639"/>
      <c r="AB39" s="1639"/>
      <c r="AC39" s="1639"/>
      <c r="AD39" s="1639"/>
      <c r="AE39" s="1639"/>
      <c r="AF39" s="1167">
        <v>23</v>
      </c>
    </row>
    <row s="1373" customFormat="1" customHeight="1" ht="24">
      <c r="A40" s="994"/>
      <c r="C40" s="1643"/>
      <c r="D40" s="1645"/>
      <c r="E40" s="1671" t="s">
        <v>918</v>
      </c>
      <c r="F40" s="1657" t="s">
        <v>919</v>
      </c>
      <c r="G40" s="1650" t="s">
        <v>714</v>
      </c>
      <c r="H40" s="564"/>
      <c r="I40" s="564"/>
      <c r="J40" s="296" t="s">
        <v>920</v>
      </c>
      <c r="K40" s="550"/>
      <c r="L40" s="1643"/>
      <c r="M40" s="1643"/>
      <c r="R40" s="1643"/>
      <c r="U40" s="551"/>
      <c r="AA40" s="1639"/>
      <c r="AB40" s="1639"/>
      <c r="AC40" s="1639"/>
      <c r="AD40" s="1639"/>
      <c r="AE40" s="1639"/>
      <c r="AF40" s="1167">
        <v>23</v>
      </c>
    </row>
    <row s="1373" customFormat="1" customHeight="1" ht="24">
      <c r="A41" s="994"/>
      <c r="C41" s="1643"/>
      <c r="D41" s="1645"/>
      <c r="E41" s="1671" t="s">
        <v>921</v>
      </c>
      <c r="F41" s="1657" t="s">
        <v>922</v>
      </c>
      <c r="G41" s="1650" t="s">
        <v>714</v>
      </c>
      <c r="H41" s="564"/>
      <c r="I41" s="564"/>
      <c r="J41" s="296" t="s">
        <v>923</v>
      </c>
      <c r="K41" s="550"/>
      <c r="L41" s="1643"/>
      <c r="M41" s="1643"/>
      <c r="R41" s="1643"/>
      <c r="U41" s="551"/>
      <c r="AA41" s="1639"/>
      <c r="AB41" s="1639"/>
      <c r="AC41" s="1639"/>
      <c r="AD41" s="1639"/>
      <c r="AE41" s="1639"/>
      <c r="AF41" s="1167">
        <v>23</v>
      </c>
    </row>
    <row s="1373" customFormat="1" customHeight="1" ht="24">
      <c r="A42" s="994"/>
      <c r="C42" s="1643"/>
      <c r="D42" s="1645"/>
      <c r="E42" s="1671" t="s">
        <v>924</v>
      </c>
      <c r="F42" s="1657" t="s">
        <v>925</v>
      </c>
      <c r="G42" s="1650" t="s">
        <v>714</v>
      </c>
      <c r="H42" s="564"/>
      <c r="I42" s="564"/>
      <c r="J42" s="296" t="s">
        <v>926</v>
      </c>
      <c r="K42" s="550"/>
      <c r="L42" s="1643"/>
      <c r="M42" s="1643"/>
      <c r="R42" s="1643"/>
      <c r="U42" s="551"/>
      <c r="AA42" s="1639"/>
      <c r="AB42" s="1639"/>
      <c r="AC42" s="1639"/>
      <c r="AD42" s="1639"/>
      <c r="AE42" s="1639"/>
      <c r="AF42" s="1167">
        <v>23</v>
      </c>
    </row>
    <row s="1373" customFormat="1" customHeight="1" ht="35.699999999999996">
      <c r="A43" s="994"/>
      <c r="C43" s="1643" t="s">
        <v>750</v>
      </c>
      <c r="D43" s="1645"/>
      <c r="E43" s="1671" t="s">
        <v>119</v>
      </c>
      <c r="F43" s="714" t="s">
        <v>791</v>
      </c>
      <c r="G43" s="1653" t="s">
        <v>927</v>
      </c>
      <c r="H43" s="408"/>
      <c r="I43" s="408"/>
      <c r="J43" s="296" t="s">
        <v>928</v>
      </c>
      <c r="K43" s="550"/>
      <c r="L43" s="1643"/>
      <c r="M43" s="1643"/>
      <c r="R43" s="1643"/>
      <c r="U43" s="551"/>
      <c r="AA43" s="1639"/>
      <c r="AB43" s="1639"/>
      <c r="AC43" s="1639"/>
      <c r="AD43" s="1639"/>
      <c r="AE43" s="1639"/>
      <c r="AF43" s="1167">
        <v>34</v>
      </c>
    </row>
    <row s="1373" customFormat="1" customHeight="1" ht="35.699999999999996">
      <c r="A44" s="994"/>
      <c r="C44" s="1643"/>
      <c r="D44" s="1645"/>
      <c r="E44" s="1671" t="s">
        <v>92</v>
      </c>
      <c r="F44" s="714" t="s">
        <v>929</v>
      </c>
      <c r="G44" s="1650" t="s">
        <v>930</v>
      </c>
      <c r="H44" s="552"/>
      <c r="I44" s="552"/>
      <c r="J44" s="296" t="s">
        <v>931</v>
      </c>
      <c r="K44" s="550"/>
      <c r="L44" s="1643"/>
      <c r="M44" s="1643"/>
      <c r="R44" s="1643"/>
      <c r="U44" s="551"/>
      <c r="AA44" s="1639"/>
      <c r="AB44" s="1639"/>
      <c r="AC44" s="1639"/>
      <c r="AD44" s="1639"/>
      <c r="AE44" s="1639"/>
      <c r="AF44" s="1167">
        <v>34</v>
      </c>
    </row>
    <row s="1373" customFormat="1" customHeight="1" ht="24">
      <c r="A45" s="994"/>
      <c r="C45" s="1643"/>
      <c r="D45" s="1645"/>
      <c r="E45" s="1671" t="s">
        <v>93</v>
      </c>
      <c r="F45" s="714" t="s">
        <v>932</v>
      </c>
      <c r="G45" s="1661" t="s">
        <v>933</v>
      </c>
      <c r="H45" s="552"/>
      <c r="I45" s="552"/>
      <c r="J45" s="296" t="s">
        <v>934</v>
      </c>
      <c r="K45" s="550"/>
      <c r="L45" s="1643"/>
      <c r="M45" s="1643"/>
      <c r="R45" s="1643"/>
      <c r="U45" s="551"/>
      <c r="AA45" s="1639"/>
      <c r="AB45" s="1639"/>
      <c r="AC45" s="1639"/>
      <c r="AD45" s="1639"/>
      <c r="AE45" s="1639"/>
      <c r="AF45" s="1167">
        <v>23</v>
      </c>
    </row>
    <row s="1373" customFormat="1" customHeight="1" ht="19.95">
      <c r="A46" s="994"/>
      <c r="C46" s="1643"/>
      <c r="D46" s="1645"/>
      <c r="E46" s="1671" t="s">
        <v>132</v>
      </c>
      <c r="F46" s="714" t="s">
        <v>935</v>
      </c>
      <c r="G46" s="1650" t="s">
        <v>752</v>
      </c>
      <c r="H46" s="584"/>
      <c r="I46" s="584"/>
      <c r="J46" s="296"/>
      <c r="K46" s="550"/>
      <c r="L46" s="1643"/>
      <c r="M46" s="1643"/>
      <c r="R46" s="1643"/>
      <c r="U46" s="551"/>
      <c r="AA46" s="1639"/>
      <c r="AB46" s="1639"/>
      <c r="AC46" s="1639"/>
      <c r="AD46" s="1639"/>
      <c r="AE46" s="1639"/>
      <c r="AF46" s="1167">
        <v>19</v>
      </c>
    </row>
    <row customHeight="1" ht="11.549999999999999">
      <c r="D47" s="1645"/>
      <c r="AF47" s="1638">
        <v>11</v>
      </c>
    </row>
    <row s="1648" customFormat="1" customHeight="1" ht="11.549999999999999">
      <c r="A48" s="994"/>
      <c r="B48" s="1643"/>
      <c r="C48" s="1643"/>
      <c r="D48" s="358"/>
      <c r="K48" s="1167"/>
      <c r="L48" s="1643"/>
      <c r="M48" s="1643"/>
      <c r="N48" s="1167"/>
      <c r="O48" s="1167"/>
      <c r="P48" s="1167"/>
      <c r="Q48" s="1167"/>
      <c r="R48" s="1643"/>
      <c r="S48" s="1167"/>
      <c r="T48" s="1167"/>
      <c r="U48" s="551"/>
      <c r="V48" s="1167"/>
      <c r="W48" s="1167"/>
      <c r="X48" s="1167"/>
      <c r="Y48" s="1167"/>
      <c r="Z48" s="1167"/>
      <c r="AA48" s="1639"/>
      <c r="AB48" s="573"/>
      <c r="AC48" s="573"/>
      <c r="AD48" s="573"/>
      <c r="AE48" s="573"/>
      <c r="AF48" s="1648">
        <v>11</v>
      </c>
    </row>
    <row s="1648" customFormat="1" customHeight="1" ht="11.549999999999999">
      <c r="A49" s="994"/>
      <c r="B49" s="1643"/>
      <c r="C49" s="1643"/>
      <c r="D49" s="358"/>
      <c r="K49" s="1167"/>
      <c r="L49" s="1643"/>
      <c r="M49" s="1643"/>
      <c r="N49" s="1167"/>
      <c r="O49" s="1167"/>
      <c r="P49" s="1167"/>
      <c r="Q49" s="1167"/>
      <c r="R49" s="1643"/>
      <c r="S49" s="1167"/>
      <c r="T49" s="1167"/>
      <c r="U49" s="551"/>
      <c r="V49" s="1167"/>
      <c r="W49" s="1167"/>
      <c r="X49" s="1167"/>
      <c r="Y49" s="1167"/>
      <c r="Z49" s="1167"/>
      <c r="AA49" s="1639"/>
      <c r="AB49" s="573"/>
      <c r="AC49" s="573"/>
      <c r="AD49" s="573"/>
      <c r="AE49" s="573"/>
      <c r="AF49" s="1648">
        <v>11</v>
      </c>
    </row>
    <row s="1648" customFormat="1" customHeight="1" ht="11.549999999999999">
      <c r="A50" s="994"/>
      <c r="B50" s="1643"/>
      <c r="C50" s="1643"/>
      <c r="D50" s="358"/>
      <c r="H50" s="573"/>
      <c r="I50" s="573"/>
      <c r="K50" s="1167"/>
      <c r="L50" s="1643"/>
      <c r="M50" s="1643"/>
      <c r="N50" s="1167"/>
      <c r="O50" s="1167"/>
      <c r="P50" s="1167"/>
      <c r="Q50" s="1167"/>
      <c r="R50" s="1643"/>
      <c r="S50" s="1167"/>
      <c r="T50" s="1167"/>
      <c r="U50" s="551"/>
      <c r="V50" s="1167"/>
      <c r="W50" s="1167"/>
      <c r="X50" s="1167"/>
      <c r="Y50" s="1167"/>
      <c r="Z50" s="1167"/>
      <c r="AA50" s="1639"/>
      <c r="AB50" s="573"/>
      <c r="AC50" s="573"/>
      <c r="AD50" s="573"/>
      <c r="AE50" s="573"/>
      <c r="AF50" s="1648">
        <v>11</v>
      </c>
    </row>
    <row s="1648" customFormat="1" customHeight="1" ht="11.549999999999999">
      <c r="A51" s="994"/>
      <c r="B51" s="1643"/>
      <c r="C51" s="1643"/>
      <c r="D51" s="358"/>
      <c r="K51" s="1167"/>
      <c r="L51" s="1643"/>
      <c r="M51" s="1643"/>
      <c r="N51" s="1167"/>
      <c r="O51" s="1167"/>
      <c r="P51" s="1167"/>
      <c r="Q51" s="1167"/>
      <c r="R51" s="1643"/>
      <c r="S51" s="1167"/>
      <c r="T51" s="1167"/>
      <c r="U51" s="551"/>
      <c r="V51" s="1167"/>
      <c r="W51" s="1167"/>
      <c r="X51" s="1167"/>
      <c r="Y51" s="1167"/>
      <c r="Z51" s="1167"/>
      <c r="AA51" s="1639"/>
      <c r="AB51" s="573"/>
      <c r="AC51" s="573"/>
      <c r="AD51" s="573"/>
      <c r="AE51" s="573"/>
      <c r="AF51" s="1648">
        <v>11</v>
      </c>
    </row>
    <row s="1648" customFormat="1" customHeight="1" ht="11.549999999999999">
      <c r="A52" s="994"/>
      <c r="B52" s="1643"/>
      <c r="C52" s="1643"/>
      <c r="D52" s="358"/>
      <c r="K52" s="1167"/>
      <c r="L52" s="1643"/>
      <c r="M52" s="1643"/>
      <c r="N52" s="1167"/>
      <c r="O52" s="1167"/>
      <c r="P52" s="1167"/>
      <c r="Q52" s="1167"/>
      <c r="R52" s="1643"/>
      <c r="S52" s="1167"/>
      <c r="T52" s="1167"/>
      <c r="U52" s="551"/>
      <c r="V52" s="1167"/>
      <c r="W52" s="1167"/>
      <c r="X52" s="1167"/>
      <c r="Y52" s="1167"/>
      <c r="Z52" s="1167"/>
      <c r="AA52" s="1639"/>
      <c r="AB52" s="573"/>
      <c r="AC52" s="573"/>
      <c r="AD52" s="573"/>
      <c r="AE52" s="573"/>
      <c r="AF52" s="1648">
        <v>11</v>
      </c>
    </row>
    <row s="1648" customFormat="1" customHeight="1" ht="11.549999999999999">
      <c r="A53" s="994"/>
      <c r="B53" s="1643"/>
      <c r="C53" s="1643"/>
      <c r="D53" s="358"/>
      <c r="K53" s="1167"/>
      <c r="L53" s="1643"/>
      <c r="M53" s="1643"/>
      <c r="N53" s="1167"/>
      <c r="O53" s="1167"/>
      <c r="P53" s="1167"/>
      <c r="Q53" s="1167"/>
      <c r="R53" s="1643"/>
      <c r="S53" s="1167"/>
      <c r="T53" s="1167"/>
      <c r="U53" s="551"/>
      <c r="V53" s="1167"/>
      <c r="W53" s="1167"/>
      <c r="X53" s="1167"/>
      <c r="Y53" s="1167"/>
      <c r="Z53" s="1167"/>
      <c r="AA53" s="1639"/>
      <c r="AB53" s="573"/>
      <c r="AC53" s="573"/>
      <c r="AD53" s="573"/>
      <c r="AE53" s="573"/>
      <c r="AF53" s="1648">
        <v>11</v>
      </c>
    </row>
    <row s="1648" customFormat="1" customHeight="1" ht="11.549999999999999">
      <c r="A54" s="994"/>
      <c r="B54" s="1643"/>
      <c r="C54" s="1643"/>
      <c r="D54" s="358"/>
      <c r="K54" s="1167"/>
      <c r="L54" s="1643"/>
      <c r="M54" s="1643"/>
      <c r="N54" s="1167"/>
      <c r="O54" s="1167"/>
      <c r="P54" s="1167"/>
      <c r="Q54" s="1167"/>
      <c r="R54" s="1643"/>
      <c r="S54" s="1167"/>
      <c r="T54" s="1167"/>
      <c r="U54" s="551"/>
      <c r="V54" s="1167"/>
      <c r="W54" s="1167"/>
      <c r="X54" s="1167"/>
      <c r="Y54" s="1167"/>
      <c r="Z54" s="1167"/>
      <c r="AA54" s="1639"/>
      <c r="AB54" s="573"/>
      <c r="AC54" s="573"/>
      <c r="AD54" s="573"/>
      <c r="AE54" s="573"/>
      <c r="AF54" s="1648">
        <v>11</v>
      </c>
    </row>
    <row s="1648" customFormat="1" customHeight="1" ht="11.549999999999999">
      <c r="A55" s="994"/>
      <c r="B55" s="1643"/>
      <c r="C55" s="1643"/>
      <c r="D55" s="358"/>
      <c r="K55" s="1167"/>
      <c r="L55" s="1643"/>
      <c r="M55" s="1643"/>
      <c r="N55" s="1167"/>
      <c r="O55" s="1167"/>
      <c r="P55" s="1167"/>
      <c r="Q55" s="1167"/>
      <c r="R55" s="1643"/>
      <c r="S55" s="1167"/>
      <c r="T55" s="1167"/>
      <c r="U55" s="551"/>
      <c r="V55" s="1167"/>
      <c r="W55" s="1167"/>
      <c r="X55" s="1167"/>
      <c r="Y55" s="1167"/>
      <c r="Z55" s="1167"/>
      <c r="AA55" s="1639"/>
      <c r="AB55" s="573"/>
      <c r="AC55" s="573"/>
      <c r="AD55" s="573"/>
      <c r="AE55" s="573"/>
      <c r="AF55" s="1648">
        <v>11</v>
      </c>
    </row>
    <row s="1648" customFormat="1" customHeight="1" ht="11.549999999999999">
      <c r="A56" s="994"/>
      <c r="B56" s="1643"/>
      <c r="C56" s="1643"/>
      <c r="D56" s="358"/>
      <c r="K56" s="1167"/>
      <c r="L56" s="1643"/>
      <c r="M56" s="1643"/>
      <c r="N56" s="1167"/>
      <c r="O56" s="1167"/>
      <c r="P56" s="1167"/>
      <c r="Q56" s="1167"/>
      <c r="R56" s="1643"/>
      <c r="S56" s="1167"/>
      <c r="T56" s="1167"/>
      <c r="U56" s="551"/>
      <c r="V56" s="1167"/>
      <c r="W56" s="1167"/>
      <c r="X56" s="1167"/>
      <c r="Y56" s="1167"/>
      <c r="Z56" s="1167"/>
      <c r="AA56" s="1639"/>
      <c r="AB56" s="573"/>
      <c r="AC56" s="573"/>
      <c r="AD56" s="573"/>
      <c r="AE56" s="573"/>
      <c r="AF56" s="1648">
        <v>11</v>
      </c>
    </row>
    <row s="1648" customFormat="1" customHeight="1" ht="11.549999999999999">
      <c r="A57" s="994"/>
      <c r="B57" s="1643"/>
      <c r="C57" s="1643"/>
      <c r="D57" s="358"/>
      <c r="K57" s="1167"/>
      <c r="L57" s="1643"/>
      <c r="M57" s="1643"/>
      <c r="N57" s="1167"/>
      <c r="O57" s="1167"/>
      <c r="P57" s="1167"/>
      <c r="Q57" s="1167"/>
      <c r="R57" s="1643"/>
      <c r="S57" s="1167"/>
      <c r="T57" s="1167"/>
      <c r="U57" s="551"/>
      <c r="V57" s="1167"/>
      <c r="W57" s="1167"/>
      <c r="X57" s="1167"/>
      <c r="Y57" s="1167"/>
      <c r="Z57" s="1167"/>
      <c r="AA57" s="1639"/>
      <c r="AB57" s="573"/>
      <c r="AC57" s="573"/>
      <c r="AD57" s="573"/>
      <c r="AE57" s="573"/>
      <c r="AF57" s="1648">
        <v>11</v>
      </c>
    </row>
    <row s="1648" customFormat="1" customHeight="1" ht="11.549999999999999">
      <c r="A58" s="994"/>
      <c r="B58" s="1643"/>
      <c r="C58" s="1643"/>
      <c r="D58" s="358"/>
      <c r="K58" s="1167"/>
      <c r="L58" s="1643"/>
      <c r="M58" s="1643"/>
      <c r="N58" s="1167"/>
      <c r="O58" s="1167"/>
      <c r="P58" s="1167"/>
      <c r="Q58" s="1167"/>
      <c r="R58" s="1643"/>
      <c r="S58" s="1167"/>
      <c r="T58" s="1167"/>
      <c r="U58" s="551"/>
      <c r="V58" s="1167"/>
      <c r="W58" s="1167"/>
      <c r="X58" s="1167"/>
      <c r="Y58" s="1167"/>
      <c r="Z58" s="1167"/>
      <c r="AA58" s="1639"/>
      <c r="AB58" s="573"/>
      <c r="AC58" s="573"/>
      <c r="AD58" s="573"/>
      <c r="AE58" s="573"/>
      <c r="AF58" s="1648">
        <v>11</v>
      </c>
    </row>
    <row s="1648" customFormat="1" customHeight="1" ht="11.549999999999999">
      <c r="A59" s="994"/>
      <c r="B59" s="1643"/>
      <c r="C59" s="1643"/>
      <c r="D59" s="358"/>
      <c r="K59" s="1167"/>
      <c r="L59" s="1643"/>
      <c r="M59" s="1643"/>
      <c r="N59" s="1167"/>
      <c r="O59" s="1167"/>
      <c r="P59" s="1167"/>
      <c r="Q59" s="1167"/>
      <c r="R59" s="1643"/>
      <c r="S59" s="1167"/>
      <c r="T59" s="1167"/>
      <c r="U59" s="551"/>
      <c r="V59" s="1167"/>
      <c r="W59" s="1167"/>
      <c r="X59" s="1167"/>
      <c r="Y59" s="1167"/>
      <c r="Z59" s="1167"/>
      <c r="AA59" s="1639"/>
      <c r="AB59" s="573"/>
      <c r="AC59" s="573"/>
      <c r="AD59" s="573"/>
      <c r="AE59" s="573"/>
      <c r="AF59" s="1648">
        <v>11</v>
      </c>
    </row>
    <row s="1648" customFormat="1" customHeight="1" ht="11.549999999999999">
      <c r="A60" s="994"/>
      <c r="B60" s="1643"/>
      <c r="C60" s="1643"/>
      <c r="D60" s="358"/>
      <c r="K60" s="1167"/>
      <c r="L60" s="1643"/>
      <c r="M60" s="1643"/>
      <c r="N60" s="1167"/>
      <c r="O60" s="1167"/>
      <c r="P60" s="1167"/>
      <c r="Q60" s="1167"/>
      <c r="R60" s="1643"/>
      <c r="S60" s="1167"/>
      <c r="T60" s="1167"/>
      <c r="U60" s="551"/>
      <c r="V60" s="1167"/>
      <c r="W60" s="1167"/>
      <c r="X60" s="1167"/>
      <c r="Y60" s="1167"/>
      <c r="Z60" s="1167"/>
      <c r="AA60" s="1639"/>
      <c r="AB60" s="573"/>
      <c r="AC60" s="573"/>
      <c r="AD60" s="573"/>
      <c r="AE60" s="573"/>
      <c r="AF60" s="1648">
        <v>11</v>
      </c>
    </row>
    <row s="1648" customFormat="1" customHeight="1" ht="11.549999999999999">
      <c r="A61" s="994"/>
      <c r="B61" s="1643"/>
      <c r="C61" s="1643"/>
      <c r="D61" s="358"/>
      <c r="K61" s="1167"/>
      <c r="L61" s="1643"/>
      <c r="M61" s="1643"/>
      <c r="N61" s="1167"/>
      <c r="O61" s="1167"/>
      <c r="P61" s="1167"/>
      <c r="Q61" s="1167"/>
      <c r="R61" s="1643"/>
      <c r="S61" s="1167"/>
      <c r="T61" s="1167"/>
      <c r="U61" s="551"/>
      <c r="V61" s="1167"/>
      <c r="W61" s="1167"/>
      <c r="X61" s="1167"/>
      <c r="Y61" s="1167"/>
      <c r="Z61" s="1167"/>
      <c r="AA61" s="1639"/>
      <c r="AB61" s="573"/>
      <c r="AC61" s="573"/>
      <c r="AD61" s="573"/>
      <c r="AE61" s="573"/>
      <c r="AF61" s="1648">
        <v>11</v>
      </c>
    </row>
    <row s="1648" customFormat="1" customHeight="1" ht="11.549999999999999">
      <c r="A62" s="994"/>
      <c r="B62" s="1643"/>
      <c r="C62" s="1643"/>
      <c r="D62" s="358"/>
      <c r="K62" s="1167"/>
      <c r="L62" s="1643"/>
      <c r="M62" s="1643"/>
      <c r="N62" s="1167"/>
      <c r="O62" s="1167"/>
      <c r="P62" s="1167"/>
      <c r="Q62" s="1167"/>
      <c r="R62" s="1643"/>
      <c r="S62" s="1167"/>
      <c r="T62" s="1167"/>
      <c r="U62" s="551"/>
      <c r="V62" s="1167"/>
      <c r="W62" s="1167"/>
      <c r="X62" s="1167"/>
      <c r="Y62" s="1167"/>
      <c r="Z62" s="1167"/>
      <c r="AA62" s="1639"/>
      <c r="AB62" s="573"/>
      <c r="AC62" s="573"/>
      <c r="AD62" s="573"/>
      <c r="AE62" s="573"/>
      <c r="AF62" s="1648">
        <v>11</v>
      </c>
    </row>
    <row s="1648" customFormat="1" customHeight="1" ht="11.549999999999999">
      <c r="A63" s="994"/>
      <c r="B63" s="1643"/>
      <c r="C63" s="1643"/>
      <c r="D63" s="358"/>
      <c r="K63" s="1167"/>
      <c r="L63" s="1643"/>
      <c r="M63" s="1643"/>
      <c r="N63" s="1167"/>
      <c r="O63" s="1167"/>
      <c r="P63" s="1167"/>
      <c r="Q63" s="1167"/>
      <c r="R63" s="1643"/>
      <c r="S63" s="1167"/>
      <c r="T63" s="1167"/>
      <c r="U63" s="551"/>
      <c r="V63" s="1167"/>
      <c r="W63" s="1167"/>
      <c r="X63" s="1167"/>
      <c r="Y63" s="1167"/>
      <c r="Z63" s="1167"/>
      <c r="AA63" s="1639"/>
      <c r="AB63" s="573"/>
      <c r="AC63" s="573"/>
      <c r="AD63" s="573"/>
      <c r="AE63" s="573"/>
      <c r="AF63" s="1648">
        <v>11</v>
      </c>
    </row>
    <row s="1648" customFormat="1" customHeight="1" ht="11.549999999999999">
      <c r="A64" s="994"/>
      <c r="B64" s="1643"/>
      <c r="C64" s="1643"/>
      <c r="D64" s="358"/>
      <c r="K64" s="1167"/>
      <c r="L64" s="1643"/>
      <c r="M64" s="1643"/>
      <c r="N64" s="1167"/>
      <c r="O64" s="1167"/>
      <c r="P64" s="1167"/>
      <c r="Q64" s="1167"/>
      <c r="R64" s="1643"/>
      <c r="S64" s="1167"/>
      <c r="T64" s="1167"/>
      <c r="U64" s="551"/>
      <c r="V64" s="1167"/>
      <c r="W64" s="1167"/>
      <c r="X64" s="1167"/>
      <c r="Y64" s="1167"/>
      <c r="Z64" s="1167"/>
      <c r="AA64" s="1639"/>
      <c r="AB64" s="573"/>
      <c r="AC64" s="573"/>
      <c r="AD64" s="573"/>
      <c r="AE64" s="573"/>
      <c r="AF64" s="1648">
        <v>11</v>
      </c>
    </row>
    <row s="1648" customFormat="1" customHeight="1" ht="11.549999999999999">
      <c r="A65" s="994"/>
      <c r="B65" s="1643"/>
      <c r="C65" s="1643"/>
      <c r="D65" s="358"/>
      <c r="K65" s="1167"/>
      <c r="L65" s="1643"/>
      <c r="M65" s="1643"/>
      <c r="N65" s="1167"/>
      <c r="O65" s="1167"/>
      <c r="P65" s="1167"/>
      <c r="Q65" s="1167"/>
      <c r="R65" s="1643"/>
      <c r="S65" s="1167"/>
      <c r="T65" s="1167"/>
      <c r="U65" s="551"/>
      <c r="V65" s="1167"/>
      <c r="W65" s="1167"/>
      <c r="X65" s="1167"/>
      <c r="Y65" s="1167"/>
      <c r="Z65" s="1167"/>
      <c r="AA65" s="1639"/>
      <c r="AB65" s="573"/>
      <c r="AC65" s="573"/>
      <c r="AD65" s="573"/>
      <c r="AE65" s="573"/>
      <c r="AF65" s="1648">
        <v>11</v>
      </c>
    </row>
    <row s="1648" customFormat="1" customHeight="1" ht="11.549999999999999">
      <c r="A66" s="994"/>
      <c r="B66" s="1643"/>
      <c r="C66" s="1643"/>
      <c r="D66" s="358"/>
      <c r="K66" s="1167"/>
      <c r="L66" s="1643"/>
      <c r="M66" s="1643"/>
      <c r="N66" s="1167"/>
      <c r="O66" s="1167"/>
      <c r="P66" s="1167"/>
      <c r="Q66" s="1167"/>
      <c r="R66" s="1643"/>
      <c r="S66" s="1167"/>
      <c r="T66" s="1167"/>
      <c r="U66" s="551"/>
      <c r="V66" s="1167"/>
      <c r="W66" s="1167"/>
      <c r="X66" s="1167"/>
      <c r="Y66" s="1167"/>
      <c r="Z66" s="1167"/>
      <c r="AA66" s="1639"/>
      <c r="AB66" s="573"/>
      <c r="AC66" s="573"/>
      <c r="AD66" s="573"/>
      <c r="AE66" s="573"/>
      <c r="AF66" s="1648">
        <v>11</v>
      </c>
    </row>
    <row s="1648" customFormat="1" customHeight="1" ht="11.549999999999999">
      <c r="A67" s="994"/>
      <c r="B67" s="1643"/>
      <c r="C67" s="1643"/>
      <c r="D67" s="358"/>
      <c r="K67" s="1167"/>
      <c r="L67" s="1643"/>
      <c r="M67" s="1643"/>
      <c r="N67" s="1167"/>
      <c r="O67" s="1167"/>
      <c r="P67" s="1167"/>
      <c r="Q67" s="1167"/>
      <c r="R67" s="1643"/>
      <c r="S67" s="1167"/>
      <c r="T67" s="1167"/>
      <c r="U67" s="551"/>
      <c r="V67" s="1167"/>
      <c r="W67" s="1167"/>
      <c r="X67" s="1167"/>
      <c r="Y67" s="1167"/>
      <c r="Z67" s="1167"/>
      <c r="AA67" s="1639"/>
      <c r="AB67" s="573"/>
      <c r="AC67" s="573"/>
      <c r="AD67" s="573"/>
      <c r="AE67" s="573"/>
      <c r="AF67" s="1648">
        <v>11</v>
      </c>
    </row>
    <row s="1648" customFormat="1" customHeight="1" ht="11.549999999999999">
      <c r="A68" s="994"/>
      <c r="B68" s="1643"/>
      <c r="C68" s="1643"/>
      <c r="D68" s="358"/>
      <c r="K68" s="1167"/>
      <c r="L68" s="1643"/>
      <c r="M68" s="1643"/>
      <c r="N68" s="1167"/>
      <c r="O68" s="1167"/>
      <c r="P68" s="1167"/>
      <c r="Q68" s="1167"/>
      <c r="R68" s="1643"/>
      <c r="S68" s="1167"/>
      <c r="T68" s="1167"/>
      <c r="U68" s="551"/>
      <c r="V68" s="1167"/>
      <c r="W68" s="1167"/>
      <c r="X68" s="1167"/>
      <c r="Y68" s="1167"/>
      <c r="Z68" s="1167"/>
      <c r="AA68" s="1639"/>
      <c r="AB68" s="573"/>
      <c r="AC68" s="573"/>
      <c r="AD68" s="573"/>
      <c r="AE68" s="573"/>
      <c r="AF68" s="1648">
        <v>11</v>
      </c>
    </row>
    <row s="1648" customFormat="1" customHeight="1" ht="11.549999999999999">
      <c r="A69" s="994"/>
      <c r="B69" s="1643"/>
      <c r="C69" s="1643"/>
      <c r="D69" s="358"/>
      <c r="K69" s="1167"/>
      <c r="L69" s="1643"/>
      <c r="M69" s="1643"/>
      <c r="N69" s="1167"/>
      <c r="O69" s="1167"/>
      <c r="P69" s="1167"/>
      <c r="Q69" s="1167"/>
      <c r="R69" s="1643"/>
      <c r="S69" s="1167"/>
      <c r="T69" s="1167"/>
      <c r="U69" s="551"/>
      <c r="V69" s="1167"/>
      <c r="W69" s="1167"/>
      <c r="X69" s="1167"/>
      <c r="Y69" s="1167"/>
      <c r="Z69" s="1167"/>
      <c r="AA69" s="1639"/>
      <c r="AB69" s="573"/>
      <c r="AC69" s="573"/>
      <c r="AD69" s="573"/>
      <c r="AE69" s="573"/>
      <c r="AF69" s="1648">
        <v>11</v>
      </c>
    </row>
    <row s="1648" customFormat="1" customHeight="1" ht="11.549999999999999">
      <c r="A70" s="994"/>
      <c r="B70" s="1643"/>
      <c r="C70" s="1643"/>
      <c r="D70" s="358"/>
      <c r="K70" s="1167"/>
      <c r="L70" s="1643"/>
      <c r="M70" s="1643"/>
      <c r="N70" s="1167"/>
      <c r="O70" s="1167"/>
      <c r="P70" s="1167"/>
      <c r="Q70" s="1167"/>
      <c r="R70" s="1643"/>
      <c r="S70" s="1167"/>
      <c r="T70" s="1167"/>
      <c r="U70" s="551"/>
      <c r="V70" s="1167"/>
      <c r="W70" s="1167"/>
      <c r="X70" s="1167"/>
      <c r="Y70" s="1167"/>
      <c r="Z70" s="1167"/>
      <c r="AA70" s="1639"/>
      <c r="AB70" s="573"/>
      <c r="AC70" s="573"/>
      <c r="AD70" s="573"/>
      <c r="AE70" s="573"/>
      <c r="AF70" s="1648">
        <v>11</v>
      </c>
    </row>
    <row s="1648" customFormat="1" customHeight="1" ht="11.549999999999999">
      <c r="A71" s="994"/>
      <c r="B71" s="1643"/>
      <c r="C71" s="1643"/>
      <c r="D71" s="358"/>
      <c r="K71" s="1167"/>
      <c r="L71" s="1643"/>
      <c r="M71" s="1643"/>
      <c r="N71" s="1167"/>
      <c r="O71" s="1167"/>
      <c r="P71" s="1167"/>
      <c r="Q71" s="1167"/>
      <c r="R71" s="1643"/>
      <c r="S71" s="1167"/>
      <c r="T71" s="1167"/>
      <c r="U71" s="551"/>
      <c r="V71" s="1167"/>
      <c r="W71" s="1167"/>
      <c r="X71" s="1167"/>
      <c r="Y71" s="1167"/>
      <c r="Z71" s="1167"/>
      <c r="AA71" s="1639"/>
      <c r="AB71" s="573"/>
      <c r="AC71" s="573"/>
      <c r="AD71" s="573"/>
      <c r="AE71" s="573"/>
      <c r="AF71" s="1648">
        <v>11</v>
      </c>
    </row>
    <row s="1648" customFormat="1" customHeight="1" ht="11.549999999999999">
      <c r="A72" s="994"/>
      <c r="B72" s="1643"/>
      <c r="C72" s="1643"/>
      <c r="D72" s="358"/>
      <c r="K72" s="1167"/>
      <c r="L72" s="1643"/>
      <c r="M72" s="1643"/>
      <c r="N72" s="1167"/>
      <c r="O72" s="1167"/>
      <c r="P72" s="1167"/>
      <c r="Q72" s="1167"/>
      <c r="R72" s="1643"/>
      <c r="S72" s="1167"/>
      <c r="T72" s="1167"/>
      <c r="U72" s="551"/>
      <c r="V72" s="1167"/>
      <c r="W72" s="1167"/>
      <c r="X72" s="1167"/>
      <c r="Y72" s="1167"/>
      <c r="Z72" s="1167"/>
      <c r="AA72" s="1639"/>
      <c r="AB72" s="573"/>
      <c r="AC72" s="573"/>
      <c r="AD72" s="573"/>
      <c r="AE72" s="573"/>
      <c r="AF72" s="1648">
        <v>11</v>
      </c>
    </row>
    <row s="1648" customFormat="1" customHeight="1" ht="11.549999999999999">
      <c r="A73" s="994"/>
      <c r="B73" s="1643"/>
      <c r="C73" s="1643"/>
      <c r="D73" s="358"/>
      <c r="K73" s="1167"/>
      <c r="L73" s="1643"/>
      <c r="M73" s="1643"/>
      <c r="N73" s="1167"/>
      <c r="O73" s="1167"/>
      <c r="P73" s="1167"/>
      <c r="Q73" s="1167"/>
      <c r="R73" s="1643"/>
      <c r="S73" s="1167"/>
      <c r="T73" s="1167"/>
      <c r="U73" s="551"/>
      <c r="V73" s="1167"/>
      <c r="W73" s="1167"/>
      <c r="X73" s="1167"/>
      <c r="Y73" s="1167"/>
      <c r="Z73" s="1167"/>
      <c r="AA73" s="1639"/>
      <c r="AB73" s="573"/>
      <c r="AC73" s="573"/>
      <c r="AD73" s="573"/>
      <c r="AE73" s="573"/>
      <c r="AF73" s="1648">
        <v>11</v>
      </c>
    </row>
    <row s="1648" customFormat="1" customHeight="1" ht="11.549999999999999">
      <c r="A74" s="994"/>
      <c r="B74" s="1643"/>
      <c r="C74" s="1643"/>
      <c r="D74" s="358"/>
      <c r="K74" s="1167"/>
      <c r="L74" s="1643"/>
      <c r="M74" s="1643"/>
      <c r="N74" s="1167"/>
      <c r="O74" s="1167"/>
      <c r="P74" s="1167"/>
      <c r="Q74" s="1167"/>
      <c r="R74" s="1643"/>
      <c r="S74" s="1167"/>
      <c r="T74" s="1167"/>
      <c r="U74" s="551"/>
      <c r="V74" s="1167"/>
      <c r="W74" s="1167"/>
      <c r="X74" s="1167"/>
      <c r="Y74" s="1167"/>
      <c r="Z74" s="1167"/>
      <c r="AA74" s="1639"/>
      <c r="AB74" s="573"/>
      <c r="AC74" s="573"/>
      <c r="AD74" s="573"/>
      <c r="AE74" s="573"/>
      <c r="AF74" s="1648">
        <v>11</v>
      </c>
    </row>
    <row s="1648" customFormat="1" customHeight="1" ht="11.549999999999999">
      <c r="A75" s="994"/>
      <c r="B75" s="1643"/>
      <c r="C75" s="1643"/>
      <c r="D75" s="358"/>
      <c r="K75" s="1167"/>
      <c r="L75" s="1643"/>
      <c r="M75" s="1643"/>
      <c r="N75" s="1167"/>
      <c r="O75" s="1167"/>
      <c r="P75" s="1167"/>
      <c r="Q75" s="1167"/>
      <c r="R75" s="1643"/>
      <c r="S75" s="1167"/>
      <c r="T75" s="1167"/>
      <c r="U75" s="551"/>
      <c r="V75" s="1167"/>
      <c r="W75" s="1167"/>
      <c r="X75" s="1167"/>
      <c r="Y75" s="1167"/>
      <c r="Z75" s="1167"/>
      <c r="AA75" s="1639"/>
      <c r="AB75" s="573"/>
      <c r="AC75" s="573"/>
      <c r="AD75" s="573"/>
      <c r="AE75" s="573"/>
      <c r="AF75" s="1648">
        <v>11</v>
      </c>
    </row>
    <row s="1648" customFormat="1" customHeight="1" ht="11.549999999999999">
      <c r="A76" s="994"/>
      <c r="B76" s="1643"/>
      <c r="C76" s="1643"/>
      <c r="D76" s="358"/>
      <c r="K76" s="1167"/>
      <c r="L76" s="1643"/>
      <c r="M76" s="1643"/>
      <c r="N76" s="1167"/>
      <c r="O76" s="1167"/>
      <c r="P76" s="1167"/>
      <c r="Q76" s="1167"/>
      <c r="R76" s="1643"/>
      <c r="S76" s="1167"/>
      <c r="T76" s="1167"/>
      <c r="U76" s="551"/>
      <c r="V76" s="1167"/>
      <c r="W76" s="1167"/>
      <c r="X76" s="1167"/>
      <c r="Y76" s="1167"/>
      <c r="Z76" s="1167"/>
      <c r="AA76" s="1639"/>
      <c r="AB76" s="573"/>
      <c r="AC76" s="573"/>
      <c r="AD76" s="573"/>
      <c r="AE76" s="573"/>
      <c r="AF76" s="1648">
        <v>11</v>
      </c>
    </row>
    <row s="1648" customFormat="1" customHeight="1" ht="11.549999999999999">
      <c r="A77" s="994"/>
      <c r="B77" s="1643"/>
      <c r="C77" s="1643"/>
      <c r="D77" s="358"/>
      <c r="K77" s="1167"/>
      <c r="L77" s="1643"/>
      <c r="M77" s="1643"/>
      <c r="N77" s="1167"/>
      <c r="O77" s="1167"/>
      <c r="P77" s="1167"/>
      <c r="Q77" s="1167"/>
      <c r="R77" s="1643"/>
      <c r="S77" s="1167"/>
      <c r="T77" s="1167"/>
      <c r="U77" s="551"/>
      <c r="V77" s="1167"/>
      <c r="W77" s="1167"/>
      <c r="X77" s="1167"/>
      <c r="Y77" s="1167"/>
      <c r="Z77" s="1167"/>
      <c r="AA77" s="1639"/>
      <c r="AB77" s="573"/>
      <c r="AC77" s="573"/>
      <c r="AD77" s="573"/>
      <c r="AE77" s="573"/>
      <c r="AF77" s="1648">
        <v>11</v>
      </c>
    </row>
    <row s="1648" customFormat="1" customHeight="1" ht="11.549999999999999">
      <c r="A78" s="994"/>
      <c r="B78" s="1643"/>
      <c r="C78" s="1643"/>
      <c r="D78" s="358"/>
      <c r="K78" s="1167"/>
      <c r="L78" s="1643"/>
      <c r="M78" s="1643"/>
      <c r="N78" s="1167"/>
      <c r="O78" s="1167"/>
      <c r="P78" s="1167"/>
      <c r="Q78" s="1167"/>
      <c r="R78" s="1643"/>
      <c r="S78" s="1167"/>
      <c r="T78" s="1167"/>
      <c r="U78" s="551"/>
      <c r="V78" s="1167"/>
      <c r="W78" s="1167"/>
      <c r="X78" s="1167"/>
      <c r="Y78" s="1167"/>
      <c r="Z78" s="1167"/>
      <c r="AA78" s="1639"/>
      <c r="AB78" s="573"/>
      <c r="AC78" s="573"/>
      <c r="AD78" s="573"/>
      <c r="AE78" s="573"/>
      <c r="AF78" s="1648">
        <v>11</v>
      </c>
    </row>
    <row s="1648" customFormat="1" customHeight="1" ht="11.549999999999999">
      <c r="A79" s="994"/>
      <c r="B79" s="1643"/>
      <c r="C79" s="1643"/>
      <c r="D79" s="358"/>
      <c r="K79" s="1167"/>
      <c r="L79" s="1643"/>
      <c r="M79" s="1643"/>
      <c r="N79" s="1167"/>
      <c r="O79" s="1167"/>
      <c r="P79" s="1167"/>
      <c r="Q79" s="1167"/>
      <c r="R79" s="1643"/>
      <c r="S79" s="1167"/>
      <c r="T79" s="1167"/>
      <c r="U79" s="551"/>
      <c r="V79" s="1167"/>
      <c r="W79" s="1167"/>
      <c r="X79" s="1167"/>
      <c r="Y79" s="1167"/>
      <c r="Z79" s="1167"/>
      <c r="AA79" s="1639"/>
      <c r="AB79" s="573"/>
      <c r="AC79" s="573"/>
      <c r="AD79" s="573"/>
      <c r="AE79" s="573"/>
      <c r="AF79" s="1648">
        <v>11</v>
      </c>
    </row>
    <row s="1648" customFormat="1" customHeight="1" ht="11.549999999999999">
      <c r="A80" s="994"/>
      <c r="B80" s="1643"/>
      <c r="C80" s="1643"/>
      <c r="D80" s="358"/>
      <c r="K80" s="1167"/>
      <c r="L80" s="1643"/>
      <c r="M80" s="1643"/>
      <c r="N80" s="1167"/>
      <c r="O80" s="1167"/>
      <c r="P80" s="1167"/>
      <c r="Q80" s="1167"/>
      <c r="R80" s="1643"/>
      <c r="S80" s="1167"/>
      <c r="T80" s="1167"/>
      <c r="U80" s="551"/>
      <c r="V80" s="1167"/>
      <c r="W80" s="1167"/>
      <c r="X80" s="1167"/>
      <c r="Y80" s="1167"/>
      <c r="Z80" s="1167"/>
      <c r="AA80" s="1639"/>
      <c r="AB80" s="573"/>
      <c r="AC80" s="573"/>
      <c r="AD80" s="573"/>
      <c r="AE80" s="573"/>
      <c r="AF80" s="1648">
        <v>11</v>
      </c>
    </row>
    <row s="1648" customFormat="1" customHeight="1" ht="11.549999999999999">
      <c r="A81" s="994"/>
      <c r="B81" s="1643"/>
      <c r="C81" s="1643"/>
      <c r="D81" s="358"/>
      <c r="K81" s="1167"/>
      <c r="L81" s="1643"/>
      <c r="M81" s="1643"/>
      <c r="N81" s="1167"/>
      <c r="O81" s="1167"/>
      <c r="P81" s="1167"/>
      <c r="Q81" s="1167"/>
      <c r="R81" s="1643"/>
      <c r="S81" s="1167"/>
      <c r="T81" s="1167"/>
      <c r="U81" s="551"/>
      <c r="V81" s="1167"/>
      <c r="W81" s="1167"/>
      <c r="X81" s="1167"/>
      <c r="Y81" s="1167"/>
      <c r="Z81" s="1167"/>
      <c r="AA81" s="1639"/>
      <c r="AB81" s="573"/>
      <c r="AC81" s="573"/>
      <c r="AD81" s="573"/>
      <c r="AE81" s="573"/>
      <c r="AF81" s="1648">
        <v>11</v>
      </c>
    </row>
    <row s="1648" customFormat="1" customHeight="1" ht="11.549999999999999">
      <c r="A82" s="994"/>
      <c r="B82" s="1643"/>
      <c r="C82" s="1643"/>
      <c r="D82" s="358"/>
      <c r="K82" s="1167"/>
      <c r="L82" s="1643"/>
      <c r="M82" s="1643"/>
      <c r="N82" s="1167"/>
      <c r="O82" s="1167"/>
      <c r="P82" s="1167"/>
      <c r="Q82" s="1167"/>
      <c r="R82" s="1643"/>
      <c r="S82" s="1167"/>
      <c r="T82" s="1167"/>
      <c r="U82" s="551"/>
      <c r="V82" s="1167"/>
      <c r="W82" s="1167"/>
      <c r="X82" s="1167"/>
      <c r="Y82" s="1167"/>
      <c r="Z82" s="1167"/>
      <c r="AA82" s="1639"/>
      <c r="AB82" s="573"/>
      <c r="AC82" s="573"/>
      <c r="AD82" s="573"/>
      <c r="AE82" s="573"/>
      <c r="AF82" s="1648">
        <v>11</v>
      </c>
    </row>
    <row s="1648" customFormat="1" customHeight="1" ht="11.549999999999999">
      <c r="A83" s="994"/>
      <c r="B83" s="1643"/>
      <c r="C83" s="1643"/>
      <c r="D83" s="358"/>
      <c r="K83" s="1167"/>
      <c r="L83" s="1643"/>
      <c r="M83" s="1643"/>
      <c r="N83" s="1167"/>
      <c r="O83" s="1167"/>
      <c r="P83" s="1167"/>
      <c r="Q83" s="1167"/>
      <c r="R83" s="1643"/>
      <c r="S83" s="1167"/>
      <c r="T83" s="1167"/>
      <c r="U83" s="551"/>
      <c r="V83" s="1167"/>
      <c r="W83" s="1167"/>
      <c r="X83" s="1167"/>
      <c r="Y83" s="1167"/>
      <c r="Z83" s="1167"/>
      <c r="AA83" s="1639"/>
      <c r="AB83" s="573"/>
      <c r="AC83" s="573"/>
      <c r="AD83" s="573"/>
      <c r="AE83" s="573"/>
      <c r="AF83" s="1648">
        <v>11</v>
      </c>
    </row>
    <row s="1648" customFormat="1" customHeight="1" ht="11.549999999999999">
      <c r="A84" s="994"/>
      <c r="B84" s="1643"/>
      <c r="C84" s="1643"/>
      <c r="D84" s="358"/>
      <c r="K84" s="1167"/>
      <c r="L84" s="1643"/>
      <c r="M84" s="1643"/>
      <c r="N84" s="1167"/>
      <c r="O84" s="1167"/>
      <c r="P84" s="1167"/>
      <c r="Q84" s="1167"/>
      <c r="R84" s="1643"/>
      <c r="S84" s="1167"/>
      <c r="T84" s="1167"/>
      <c r="U84" s="551"/>
      <c r="V84" s="1167"/>
      <c r="W84" s="1167"/>
      <c r="X84" s="1167"/>
      <c r="Y84" s="1167"/>
      <c r="Z84" s="1167"/>
      <c r="AA84" s="1639"/>
      <c r="AB84" s="573"/>
      <c r="AC84" s="573"/>
      <c r="AD84" s="573"/>
      <c r="AE84" s="573"/>
      <c r="AF84" s="1648">
        <v>11</v>
      </c>
    </row>
    <row s="1648" customFormat="1" customHeight="1" ht="11.549999999999999">
      <c r="A85" s="994"/>
      <c r="B85" s="1643"/>
      <c r="C85" s="1643"/>
      <c r="D85" s="358"/>
      <c r="K85" s="1167"/>
      <c r="L85" s="1643"/>
      <c r="M85" s="1643"/>
      <c r="N85" s="1167"/>
      <c r="O85" s="1167"/>
      <c r="P85" s="1167"/>
      <c r="Q85" s="1167"/>
      <c r="R85" s="1643"/>
      <c r="S85" s="1167"/>
      <c r="T85" s="1167"/>
      <c r="U85" s="551"/>
      <c r="V85" s="1167"/>
      <c r="W85" s="1167"/>
      <c r="X85" s="1167"/>
      <c r="Y85" s="1167"/>
      <c r="Z85" s="1167"/>
      <c r="AA85" s="1639"/>
      <c r="AB85" s="573"/>
      <c r="AC85" s="573"/>
      <c r="AD85" s="573"/>
      <c r="AE85" s="573"/>
      <c r="AF85" s="1648">
        <v>11</v>
      </c>
    </row>
    <row s="1648" customFormat="1" customHeight="1" ht="11.549999999999999">
      <c r="A86" s="994"/>
      <c r="B86" s="1643"/>
      <c r="C86" s="1643"/>
      <c r="D86" s="358"/>
      <c r="K86" s="1167"/>
      <c r="L86" s="1643"/>
      <c r="M86" s="1643"/>
      <c r="N86" s="1167"/>
      <c r="O86" s="1167"/>
      <c r="P86" s="1167"/>
      <c r="Q86" s="1167"/>
      <c r="R86" s="1643"/>
      <c r="S86" s="1167"/>
      <c r="T86" s="1167"/>
      <c r="U86" s="551"/>
      <c r="V86" s="1167"/>
      <c r="W86" s="1167"/>
      <c r="X86" s="1167"/>
      <c r="Y86" s="1167"/>
      <c r="Z86" s="1167"/>
      <c r="AA86" s="1639"/>
      <c r="AB86" s="573"/>
      <c r="AC86" s="573"/>
      <c r="AD86" s="573"/>
      <c r="AE86" s="573"/>
      <c r="AF86" s="1648">
        <v>11</v>
      </c>
    </row>
    <row s="1648" customFormat="1" customHeight="1" ht="11.549999999999999">
      <c r="A87" s="994"/>
      <c r="B87" s="1643"/>
      <c r="C87" s="1643"/>
      <c r="D87" s="358"/>
      <c r="K87" s="1167"/>
      <c r="L87" s="1643"/>
      <c r="M87" s="1643"/>
      <c r="N87" s="1167"/>
      <c r="O87" s="1167"/>
      <c r="P87" s="1167"/>
      <c r="Q87" s="1167"/>
      <c r="R87" s="1643"/>
      <c r="S87" s="1167"/>
      <c r="T87" s="1167"/>
      <c r="U87" s="551"/>
      <c r="V87" s="1167"/>
      <c r="W87" s="1167"/>
      <c r="X87" s="1167"/>
      <c r="Y87" s="1167"/>
      <c r="Z87" s="1167"/>
      <c r="AA87" s="1639"/>
      <c r="AB87" s="573"/>
      <c r="AC87" s="573"/>
      <c r="AD87" s="573"/>
      <c r="AE87" s="573"/>
      <c r="AF87" s="1648">
        <v>11</v>
      </c>
    </row>
    <row s="1648" customFormat="1" customHeight="1" ht="11.549999999999999">
      <c r="A88" s="994"/>
      <c r="B88" s="1643"/>
      <c r="C88" s="1643"/>
      <c r="D88" s="358"/>
      <c r="K88" s="1167"/>
      <c r="L88" s="1643"/>
      <c r="M88" s="1643"/>
      <c r="N88" s="1167"/>
      <c r="O88" s="1167"/>
      <c r="P88" s="1167"/>
      <c r="Q88" s="1167"/>
      <c r="R88" s="1643"/>
      <c r="S88" s="1167"/>
      <c r="T88" s="1167"/>
      <c r="U88" s="551"/>
      <c r="V88" s="1167"/>
      <c r="W88" s="1167"/>
      <c r="X88" s="1167"/>
      <c r="Y88" s="1167"/>
      <c r="Z88" s="1167"/>
      <c r="AA88" s="1639"/>
      <c r="AB88" s="573"/>
      <c r="AC88" s="573"/>
      <c r="AD88" s="573"/>
      <c r="AE88" s="573"/>
      <c r="AF88" s="1648">
        <v>11</v>
      </c>
    </row>
    <row s="1648" customFormat="1" customHeight="1" ht="11.549999999999999">
      <c r="A89" s="994"/>
      <c r="B89" s="1643"/>
      <c r="C89" s="1643"/>
      <c r="D89" s="358"/>
      <c r="K89" s="1167"/>
      <c r="L89" s="1643"/>
      <c r="M89" s="1643"/>
      <c r="N89" s="1167"/>
      <c r="O89" s="1167"/>
      <c r="P89" s="1167"/>
      <c r="Q89" s="1167"/>
      <c r="R89" s="1643"/>
      <c r="S89" s="1167"/>
      <c r="T89" s="1167"/>
      <c r="U89" s="551"/>
      <c r="V89" s="1167"/>
      <c r="W89" s="1167"/>
      <c r="X89" s="1167"/>
      <c r="Y89" s="1167"/>
      <c r="Z89" s="1167"/>
      <c r="AA89" s="1639"/>
      <c r="AB89" s="573"/>
      <c r="AC89" s="573"/>
      <c r="AD89" s="573"/>
      <c r="AE89" s="573"/>
      <c r="AF89" s="1648">
        <v>11</v>
      </c>
    </row>
    <row s="1648" customFormat="1" customHeight="1" ht="11.549999999999999">
      <c r="A90" s="994"/>
      <c r="B90" s="1643"/>
      <c r="C90" s="1643"/>
      <c r="D90" s="358"/>
      <c r="K90" s="1167"/>
      <c r="L90" s="1643"/>
      <c r="M90" s="1643"/>
      <c r="N90" s="1167"/>
      <c r="O90" s="1167"/>
      <c r="P90" s="1167"/>
      <c r="Q90" s="1167"/>
      <c r="R90" s="1643"/>
      <c r="S90" s="1167"/>
      <c r="T90" s="1167"/>
      <c r="U90" s="551"/>
      <c r="V90" s="1167"/>
      <c r="W90" s="1167"/>
      <c r="X90" s="1167"/>
      <c r="Y90" s="1167"/>
      <c r="Z90" s="1167"/>
      <c r="AA90" s="1639"/>
      <c r="AB90" s="573"/>
      <c r="AC90" s="573"/>
      <c r="AD90" s="573"/>
      <c r="AE90" s="573"/>
      <c r="AF90" s="1648">
        <v>11</v>
      </c>
    </row>
    <row s="1648" customFormat="1" customHeight="1" ht="11.549999999999999">
      <c r="A91" s="994"/>
      <c r="B91" s="1643"/>
      <c r="C91" s="1643"/>
      <c r="D91" s="358"/>
      <c r="K91" s="1167"/>
      <c r="L91" s="1643"/>
      <c r="M91" s="1643"/>
      <c r="N91" s="1167"/>
      <c r="O91" s="1167"/>
      <c r="P91" s="1167"/>
      <c r="Q91" s="1167"/>
      <c r="R91" s="1643"/>
      <c r="S91" s="1167"/>
      <c r="T91" s="1167"/>
      <c r="U91" s="551"/>
      <c r="V91" s="1167"/>
      <c r="W91" s="1167"/>
      <c r="X91" s="1167"/>
      <c r="Y91" s="1167"/>
      <c r="Z91" s="1167"/>
      <c r="AA91" s="1639"/>
      <c r="AB91" s="573"/>
      <c r="AC91" s="573"/>
      <c r="AD91" s="573"/>
      <c r="AE91" s="573"/>
      <c r="AF91" s="1648">
        <v>11</v>
      </c>
    </row>
    <row s="1648" customFormat="1" customHeight="1" ht="11.549999999999999">
      <c r="A92" s="994"/>
      <c r="B92" s="1643"/>
      <c r="C92" s="1643"/>
      <c r="D92" s="358"/>
      <c r="K92" s="1167"/>
      <c r="L92" s="1643"/>
      <c r="M92" s="1643"/>
      <c r="N92" s="1167"/>
      <c r="O92" s="1167"/>
      <c r="P92" s="1167"/>
      <c r="Q92" s="1167"/>
      <c r="R92" s="1643"/>
      <c r="S92" s="1167"/>
      <c r="T92" s="1167"/>
      <c r="U92" s="551"/>
      <c r="V92" s="1167"/>
      <c r="W92" s="1167"/>
      <c r="X92" s="1167"/>
      <c r="Y92" s="1167"/>
      <c r="Z92" s="1167"/>
      <c r="AA92" s="1639"/>
      <c r="AB92" s="573"/>
      <c r="AC92" s="573"/>
      <c r="AD92" s="573"/>
      <c r="AE92" s="573"/>
      <c r="AF92" s="1648">
        <v>11</v>
      </c>
    </row>
    <row s="1648" customFormat="1" customHeight="1" ht="11.549999999999999">
      <c r="A93" s="994"/>
      <c r="B93" s="1643"/>
      <c r="C93" s="1643"/>
      <c r="D93" s="358"/>
      <c r="K93" s="1167"/>
      <c r="L93" s="1643"/>
      <c r="M93" s="1643"/>
      <c r="N93" s="1167"/>
      <c r="O93" s="1167"/>
      <c r="P93" s="1167"/>
      <c r="Q93" s="1167"/>
      <c r="R93" s="1643"/>
      <c r="S93" s="1167"/>
      <c r="T93" s="1167"/>
      <c r="U93" s="551"/>
      <c r="V93" s="1167"/>
      <c r="W93" s="1167"/>
      <c r="X93" s="1167"/>
      <c r="Y93" s="1167"/>
      <c r="Z93" s="1167"/>
      <c r="AA93" s="1639"/>
      <c r="AB93" s="573"/>
      <c r="AC93" s="573"/>
      <c r="AD93" s="573"/>
      <c r="AE93" s="573"/>
      <c r="AF93" s="1648">
        <v>11</v>
      </c>
    </row>
    <row s="1648" customFormat="1" customHeight="1" ht="11.549999999999999">
      <c r="A94" s="994"/>
      <c r="B94" s="1643"/>
      <c r="C94" s="1643"/>
      <c r="D94" s="358"/>
      <c r="K94" s="1167"/>
      <c r="L94" s="1643"/>
      <c r="M94" s="1643"/>
      <c r="N94" s="1167"/>
      <c r="O94" s="1167"/>
      <c r="P94" s="1167"/>
      <c r="Q94" s="1167"/>
      <c r="R94" s="1643"/>
      <c r="S94" s="1167"/>
      <c r="T94" s="1167"/>
      <c r="U94" s="551"/>
      <c r="V94" s="1167"/>
      <c r="W94" s="1167"/>
      <c r="X94" s="1167"/>
      <c r="Y94" s="1167"/>
      <c r="Z94" s="1167"/>
      <c r="AA94" s="1639"/>
      <c r="AB94" s="573"/>
      <c r="AC94" s="573"/>
      <c r="AD94" s="573"/>
      <c r="AE94" s="573"/>
      <c r="AF94" s="1648">
        <v>11</v>
      </c>
    </row>
    <row s="1648" customFormat="1" customHeight="1" ht="11.549999999999999">
      <c r="A95" s="994"/>
      <c r="B95" s="1643"/>
      <c r="C95" s="1643"/>
      <c r="D95" s="358"/>
      <c r="K95" s="1167"/>
      <c r="L95" s="1643"/>
      <c r="M95" s="1643"/>
      <c r="N95" s="1167"/>
      <c r="O95" s="1167"/>
      <c r="P95" s="1167"/>
      <c r="Q95" s="1167"/>
      <c r="R95" s="1643"/>
      <c r="S95" s="1167"/>
      <c r="T95" s="1167"/>
      <c r="U95" s="551"/>
      <c r="V95" s="1167"/>
      <c r="W95" s="1167"/>
      <c r="X95" s="1167"/>
      <c r="Y95" s="1167"/>
      <c r="Z95" s="1167"/>
      <c r="AA95" s="1639"/>
      <c r="AB95" s="573"/>
      <c r="AC95" s="573"/>
      <c r="AD95" s="573"/>
      <c r="AE95" s="573"/>
      <c r="AF95" s="1648">
        <v>11</v>
      </c>
    </row>
    <row s="1648" customFormat="1" customHeight="1" ht="11.549999999999999">
      <c r="A96" s="994"/>
      <c r="B96" s="1643"/>
      <c r="C96" s="1643"/>
      <c r="D96" s="358"/>
      <c r="K96" s="1167"/>
      <c r="L96" s="1643"/>
      <c r="M96" s="1643"/>
      <c r="N96" s="1167"/>
      <c r="O96" s="1167"/>
      <c r="P96" s="1167"/>
      <c r="Q96" s="1167"/>
      <c r="R96" s="1643"/>
      <c r="S96" s="1167"/>
      <c r="T96" s="1167"/>
      <c r="U96" s="551"/>
      <c r="V96" s="1167"/>
      <c r="W96" s="1167"/>
      <c r="X96" s="1167"/>
      <c r="Y96" s="1167"/>
      <c r="Z96" s="1167"/>
      <c r="AA96" s="1639"/>
      <c r="AB96" s="573"/>
      <c r="AC96" s="573"/>
      <c r="AD96" s="573"/>
      <c r="AE96" s="573"/>
      <c r="AF96" s="1648">
        <v>11</v>
      </c>
    </row>
    <row s="1648" customFormat="1" customHeight="1" ht="11.549999999999999">
      <c r="A97" s="994"/>
      <c r="B97" s="1643"/>
      <c r="C97" s="1643"/>
      <c r="D97" s="358"/>
      <c r="K97" s="1167"/>
      <c r="L97" s="1643"/>
      <c r="M97" s="1643"/>
      <c r="N97" s="1167"/>
      <c r="O97" s="1167"/>
      <c r="P97" s="1167"/>
      <c r="Q97" s="1167"/>
      <c r="R97" s="1643"/>
      <c r="S97" s="1167"/>
      <c r="T97" s="1167"/>
      <c r="U97" s="551"/>
      <c r="V97" s="1167"/>
      <c r="W97" s="1167"/>
      <c r="X97" s="1167"/>
      <c r="Y97" s="1167"/>
      <c r="Z97" s="1167"/>
      <c r="AA97" s="1639"/>
      <c r="AB97" s="573"/>
      <c r="AC97" s="573"/>
      <c r="AD97" s="573"/>
      <c r="AE97" s="573"/>
      <c r="AF97" s="1648">
        <v>11</v>
      </c>
    </row>
    <row s="1648" customFormat="1" customHeight="1" ht="11.549999999999999">
      <c r="A98" s="994"/>
      <c r="B98" s="1643"/>
      <c r="C98" s="1643"/>
      <c r="D98" s="358"/>
      <c r="K98" s="1167"/>
      <c r="L98" s="1643"/>
      <c r="M98" s="1643"/>
      <c r="N98" s="1167"/>
      <c r="O98" s="1167"/>
      <c r="P98" s="1167"/>
      <c r="Q98" s="1167"/>
      <c r="R98" s="1643"/>
      <c r="S98" s="1167"/>
      <c r="T98" s="1167"/>
      <c r="U98" s="551"/>
      <c r="V98" s="1167"/>
      <c r="W98" s="1167"/>
      <c r="X98" s="1167"/>
      <c r="Y98" s="1167"/>
      <c r="Z98" s="1167"/>
      <c r="AA98" s="1639"/>
      <c r="AB98" s="573"/>
      <c r="AC98" s="573"/>
      <c r="AD98" s="573"/>
      <c r="AE98" s="573"/>
      <c r="AF98" s="1648">
        <v>11</v>
      </c>
    </row>
    <row s="1648" customFormat="1" customHeight="1" ht="11.549999999999999">
      <c r="A99" s="994"/>
      <c r="B99" s="1643"/>
      <c r="C99" s="1643"/>
      <c r="D99" s="358"/>
      <c r="K99" s="1167"/>
      <c r="L99" s="1643"/>
      <c r="M99" s="1643"/>
      <c r="N99" s="1167"/>
      <c r="O99" s="1167"/>
      <c r="P99" s="1167"/>
      <c r="Q99" s="1167"/>
      <c r="R99" s="1643"/>
      <c r="S99" s="1167"/>
      <c r="T99" s="1167"/>
      <c r="U99" s="551"/>
      <c r="V99" s="1167"/>
      <c r="W99" s="1167"/>
      <c r="X99" s="1167"/>
      <c r="Y99" s="1167"/>
      <c r="Z99" s="1167"/>
      <c r="AA99" s="1639"/>
      <c r="AB99" s="573"/>
      <c r="AC99" s="573"/>
      <c r="AD99" s="573"/>
      <c r="AE99" s="573"/>
      <c r="AF99" s="1648">
        <v>11</v>
      </c>
    </row>
    <row s="1648" customFormat="1" customHeight="1" ht="11.549999999999999">
      <c r="A100" s="994"/>
      <c r="B100" s="1643"/>
      <c r="C100" s="1643"/>
      <c r="D100" s="358"/>
      <c r="K100" s="1167"/>
      <c r="L100" s="1643"/>
      <c r="M100" s="1643"/>
      <c r="N100" s="1167"/>
      <c r="O100" s="1167"/>
      <c r="P100" s="1167"/>
      <c r="Q100" s="1167"/>
      <c r="R100" s="1643"/>
      <c r="S100" s="1167"/>
      <c r="T100" s="1167"/>
      <c r="U100" s="551"/>
      <c r="V100" s="1167"/>
      <c r="W100" s="1167"/>
      <c r="X100" s="1167"/>
      <c r="Y100" s="1167"/>
      <c r="Z100" s="1167"/>
      <c r="AA100" s="1639"/>
      <c r="AB100" s="573"/>
      <c r="AC100" s="573"/>
      <c r="AD100" s="573"/>
      <c r="AE100" s="573"/>
      <c r="AF100" s="1648">
        <v>11</v>
      </c>
    </row>
    <row s="1648" customFormat="1" customHeight="1" ht="11.549999999999999">
      <c r="A101" s="994"/>
      <c r="B101" s="1643"/>
      <c r="C101" s="1643"/>
      <c r="D101" s="358"/>
      <c r="K101" s="1167"/>
      <c r="L101" s="1643"/>
      <c r="M101" s="1643"/>
      <c r="N101" s="1167"/>
      <c r="O101" s="1167"/>
      <c r="P101" s="1167"/>
      <c r="Q101" s="1167"/>
      <c r="R101" s="1643"/>
      <c r="S101" s="1167"/>
      <c r="T101" s="1167"/>
      <c r="U101" s="551"/>
      <c r="V101" s="1167"/>
      <c r="W101" s="1167"/>
      <c r="X101" s="1167"/>
      <c r="Y101" s="1167"/>
      <c r="Z101" s="1167"/>
      <c r="AA101" s="1639"/>
      <c r="AB101" s="573"/>
      <c r="AC101" s="573"/>
      <c r="AD101" s="573"/>
      <c r="AE101" s="573"/>
      <c r="AF101" s="1648">
        <v>11</v>
      </c>
    </row>
    <row s="1648" customFormat="1" customHeight="1" ht="11.549999999999999">
      <c r="A102" s="994"/>
      <c r="B102" s="1643"/>
      <c r="C102" s="1643"/>
      <c r="D102" s="358"/>
      <c r="K102" s="1167"/>
      <c r="L102" s="1643"/>
      <c r="M102" s="1643"/>
      <c r="N102" s="1167"/>
      <c r="O102" s="1167"/>
      <c r="P102" s="1167"/>
      <c r="Q102" s="1167"/>
      <c r="R102" s="1643"/>
      <c r="S102" s="1167"/>
      <c r="T102" s="1167"/>
      <c r="U102" s="551"/>
      <c r="V102" s="1167"/>
      <c r="W102" s="1167"/>
      <c r="X102" s="1167"/>
      <c r="Y102" s="1167"/>
      <c r="Z102" s="1167"/>
      <c r="AA102" s="1639"/>
      <c r="AB102" s="573"/>
      <c r="AC102" s="573"/>
      <c r="AD102" s="573"/>
      <c r="AE102" s="573"/>
      <c r="AF102" s="1648">
        <v>11</v>
      </c>
    </row>
    <row s="1648" customFormat="1" customHeight="1" ht="11.549999999999999">
      <c r="A103" s="994"/>
      <c r="B103" s="1643"/>
      <c r="C103" s="1643"/>
      <c r="D103" s="358"/>
      <c r="K103" s="1167"/>
      <c r="L103" s="1643"/>
      <c r="M103" s="1643"/>
      <c r="N103" s="1167"/>
      <c r="O103" s="1167"/>
      <c r="P103" s="1167"/>
      <c r="Q103" s="1167"/>
      <c r="R103" s="1643"/>
      <c r="S103" s="1167"/>
      <c r="T103" s="1167"/>
      <c r="U103" s="551"/>
      <c r="V103" s="1167"/>
      <c r="W103" s="1167"/>
      <c r="X103" s="1167"/>
      <c r="Y103" s="1167"/>
      <c r="Z103" s="1167"/>
      <c r="AA103" s="1639"/>
      <c r="AB103" s="573"/>
      <c r="AC103" s="573"/>
      <c r="AD103" s="573"/>
      <c r="AE103" s="573"/>
      <c r="AF103" s="1648">
        <v>11</v>
      </c>
    </row>
    <row s="1648" customFormat="1" customHeight="1" ht="11.549999999999999">
      <c r="A104" s="994"/>
      <c r="B104" s="1643"/>
      <c r="C104" s="1643"/>
      <c r="D104" s="358"/>
      <c r="K104" s="1167"/>
      <c r="L104" s="1643"/>
      <c r="M104" s="1643"/>
      <c r="N104" s="1167"/>
      <c r="O104" s="1167"/>
      <c r="P104" s="1167"/>
      <c r="Q104" s="1167"/>
      <c r="R104" s="1643"/>
      <c r="S104" s="1167"/>
      <c r="T104" s="1167"/>
      <c r="U104" s="551"/>
      <c r="V104" s="1167"/>
      <c r="W104" s="1167"/>
      <c r="X104" s="1167"/>
      <c r="Y104" s="1167"/>
      <c r="Z104" s="1167"/>
      <c r="AA104" s="1639"/>
      <c r="AB104" s="573"/>
      <c r="AC104" s="573"/>
      <c r="AD104" s="573"/>
      <c r="AE104" s="573"/>
      <c r="AF104" s="1648">
        <v>11</v>
      </c>
    </row>
    <row s="1648" customFormat="1" customHeight="1" ht="11.549999999999999">
      <c r="A105" s="994"/>
      <c r="B105" s="1643"/>
      <c r="C105" s="1643"/>
      <c r="D105" s="358"/>
      <c r="K105" s="1167"/>
      <c r="L105" s="1643"/>
      <c r="M105" s="1643"/>
      <c r="N105" s="1167"/>
      <c r="O105" s="1167"/>
      <c r="P105" s="1167"/>
      <c r="Q105" s="1167"/>
      <c r="R105" s="1643"/>
      <c r="S105" s="1167"/>
      <c r="T105" s="1167"/>
      <c r="U105" s="551"/>
      <c r="V105" s="1167"/>
      <c r="W105" s="1167"/>
      <c r="X105" s="1167"/>
      <c r="Y105" s="1167"/>
      <c r="Z105" s="1167"/>
      <c r="AA105" s="1639"/>
      <c r="AB105" s="573"/>
      <c r="AC105" s="573"/>
      <c r="AD105" s="573"/>
      <c r="AE105" s="573"/>
      <c r="AF105" s="1648">
        <v>11</v>
      </c>
    </row>
    <row s="1648" customFormat="1" customHeight="1" ht="11.549999999999999">
      <c r="A106" s="994"/>
      <c r="B106" s="1643"/>
      <c r="C106" s="1643"/>
      <c r="D106" s="358"/>
      <c r="K106" s="1167"/>
      <c r="L106" s="1643"/>
      <c r="M106" s="1643"/>
      <c r="N106" s="1167"/>
      <c r="O106" s="1167"/>
      <c r="P106" s="1167"/>
      <c r="Q106" s="1167"/>
      <c r="R106" s="1643"/>
      <c r="S106" s="1167"/>
      <c r="T106" s="1167"/>
      <c r="U106" s="551"/>
      <c r="V106" s="1167"/>
      <c r="W106" s="1167"/>
      <c r="X106" s="1167"/>
      <c r="Y106" s="1167"/>
      <c r="Z106" s="1167"/>
      <c r="AA106" s="1639"/>
      <c r="AB106" s="573"/>
      <c r="AC106" s="573"/>
      <c r="AD106" s="573"/>
      <c r="AE106" s="573"/>
      <c r="AF106" s="1648">
        <v>11</v>
      </c>
    </row>
    <row s="1648" customFormat="1" customHeight="1" ht="11.549999999999999">
      <c r="A107" s="994"/>
      <c r="B107" s="1643"/>
      <c r="C107" s="1643"/>
      <c r="D107" s="358"/>
      <c r="K107" s="1167"/>
      <c r="L107" s="1643"/>
      <c r="M107" s="1643"/>
      <c r="N107" s="1167"/>
      <c r="O107" s="1167"/>
      <c r="P107" s="1167"/>
      <c r="Q107" s="1167"/>
      <c r="R107" s="1643"/>
      <c r="S107" s="1167"/>
      <c r="T107" s="1167"/>
      <c r="U107" s="551"/>
      <c r="V107" s="1167"/>
      <c r="W107" s="1167"/>
      <c r="X107" s="1167"/>
      <c r="Y107" s="1167"/>
      <c r="Z107" s="1167"/>
      <c r="AA107" s="1639"/>
      <c r="AB107" s="573"/>
      <c r="AC107" s="573"/>
      <c r="AD107" s="573"/>
      <c r="AE107" s="573"/>
      <c r="AF107" s="1648">
        <v>11</v>
      </c>
    </row>
    <row s="1648" customFormat="1" customHeight="1" ht="11.549999999999999">
      <c r="A108" s="994"/>
      <c r="B108" s="1643"/>
      <c r="C108" s="1643"/>
      <c r="D108" s="358"/>
      <c r="K108" s="1167"/>
      <c r="L108" s="1643"/>
      <c r="M108" s="1643"/>
      <c r="N108" s="1167"/>
      <c r="O108" s="1167"/>
      <c r="P108" s="1167"/>
      <c r="Q108" s="1167"/>
      <c r="R108" s="1643"/>
      <c r="S108" s="1167"/>
      <c r="T108" s="1167"/>
      <c r="U108" s="551"/>
      <c r="V108" s="1167"/>
      <c r="W108" s="1167"/>
      <c r="X108" s="1167"/>
      <c r="Y108" s="1167"/>
      <c r="Z108" s="1167"/>
      <c r="AA108" s="1639"/>
      <c r="AB108" s="573"/>
      <c r="AC108" s="573"/>
      <c r="AD108" s="573"/>
      <c r="AE108" s="573"/>
      <c r="AF108" s="1648">
        <v>11</v>
      </c>
    </row>
    <row s="1648" customFormat="1" customHeight="1" ht="11.549999999999999">
      <c r="A109" s="994"/>
      <c r="B109" s="1643"/>
      <c r="C109" s="1643"/>
      <c r="D109" s="358"/>
      <c r="K109" s="1167"/>
      <c r="L109" s="1643"/>
      <c r="M109" s="1643"/>
      <c r="N109" s="1167"/>
      <c r="O109" s="1167"/>
      <c r="P109" s="1167"/>
      <c r="Q109" s="1167"/>
      <c r="R109" s="1643"/>
      <c r="S109" s="1167"/>
      <c r="T109" s="1167"/>
      <c r="U109" s="551"/>
      <c r="V109" s="1167"/>
      <c r="W109" s="1167"/>
      <c r="X109" s="1167"/>
      <c r="Y109" s="1167"/>
      <c r="Z109" s="1167"/>
      <c r="AA109" s="1639"/>
      <c r="AB109" s="573"/>
      <c r="AC109" s="573"/>
      <c r="AD109" s="573"/>
      <c r="AE109" s="573"/>
      <c r="AF109" s="1648">
        <v>11</v>
      </c>
    </row>
    <row s="1648" customFormat="1" customHeight="1" ht="11.549999999999999">
      <c r="A110" s="994"/>
      <c r="B110" s="1643"/>
      <c r="C110" s="1643"/>
      <c r="D110" s="358"/>
      <c r="K110" s="1167"/>
      <c r="L110" s="1643"/>
      <c r="M110" s="1643"/>
      <c r="N110" s="1167"/>
      <c r="O110" s="1167"/>
      <c r="P110" s="1167"/>
      <c r="Q110" s="1167"/>
      <c r="R110" s="1643"/>
      <c r="S110" s="1167"/>
      <c r="T110" s="1167"/>
      <c r="U110" s="551"/>
      <c r="V110" s="1167"/>
      <c r="W110" s="1167"/>
      <c r="X110" s="1167"/>
      <c r="Y110" s="1167"/>
      <c r="Z110" s="1167"/>
      <c r="AA110" s="1639"/>
      <c r="AB110" s="573"/>
      <c r="AC110" s="573"/>
      <c r="AD110" s="573"/>
      <c r="AE110" s="573"/>
      <c r="AF110" s="1648">
        <v>11</v>
      </c>
    </row>
    <row s="1648" customFormat="1" customHeight="1" ht="11.549999999999999">
      <c r="A111" s="994"/>
      <c r="B111" s="1643"/>
      <c r="C111" s="1643"/>
      <c r="D111" s="358"/>
      <c r="K111" s="1167"/>
      <c r="L111" s="1643"/>
      <c r="M111" s="1643"/>
      <c r="N111" s="1167"/>
      <c r="O111" s="1167"/>
      <c r="P111" s="1167"/>
      <c r="Q111" s="1167"/>
      <c r="R111" s="1643"/>
      <c r="S111" s="1167"/>
      <c r="T111" s="1167"/>
      <c r="U111" s="551"/>
      <c r="V111" s="1167"/>
      <c r="W111" s="1167"/>
      <c r="X111" s="1167"/>
      <c r="Y111" s="1167"/>
      <c r="Z111" s="1167"/>
      <c r="AA111" s="1639"/>
      <c r="AB111" s="573"/>
      <c r="AC111" s="573"/>
      <c r="AD111" s="573"/>
      <c r="AE111" s="573"/>
      <c r="AF111" s="1648">
        <v>11</v>
      </c>
    </row>
    <row s="1648" customFormat="1" customHeight="1" ht="11.549999999999999">
      <c r="A112" s="994"/>
      <c r="B112" s="1643"/>
      <c r="C112" s="1643"/>
      <c r="D112" s="358"/>
      <c r="K112" s="1167"/>
      <c r="L112" s="1643"/>
      <c r="M112" s="1643"/>
      <c r="N112" s="1167"/>
      <c r="O112" s="1167"/>
      <c r="P112" s="1167"/>
      <c r="Q112" s="1167"/>
      <c r="R112" s="1643"/>
      <c r="S112" s="1167"/>
      <c r="T112" s="1167"/>
      <c r="U112" s="551"/>
      <c r="V112" s="1167"/>
      <c r="W112" s="1167"/>
      <c r="X112" s="1167"/>
      <c r="Y112" s="1167"/>
      <c r="Z112" s="1167"/>
      <c r="AA112" s="1639"/>
      <c r="AB112" s="573"/>
      <c r="AC112" s="573"/>
      <c r="AD112" s="573"/>
      <c r="AE112" s="573"/>
      <c r="AF112" s="1648">
        <v>11</v>
      </c>
    </row>
    <row s="1648" customFormat="1" customHeight="1" ht="11.549999999999999">
      <c r="A113" s="994"/>
      <c r="B113" s="1643"/>
      <c r="C113" s="1643"/>
      <c r="D113" s="358"/>
      <c r="K113" s="1167"/>
      <c r="L113" s="1643"/>
      <c r="M113" s="1643"/>
      <c r="N113" s="1167"/>
      <c r="O113" s="1167"/>
      <c r="P113" s="1167"/>
      <c r="Q113" s="1167"/>
      <c r="R113" s="1643"/>
      <c r="S113" s="1167"/>
      <c r="T113" s="1167"/>
      <c r="U113" s="551"/>
      <c r="V113" s="1167"/>
      <c r="W113" s="1167"/>
      <c r="X113" s="1167"/>
      <c r="Y113" s="1167"/>
      <c r="Z113" s="1167"/>
      <c r="AA113" s="1639"/>
      <c r="AB113" s="573"/>
      <c r="AC113" s="573"/>
      <c r="AD113" s="573"/>
      <c r="AE113" s="573"/>
      <c r="AF113" s="1648">
        <v>11</v>
      </c>
    </row>
    <row s="1648" customFormat="1" customHeight="1" ht="11.549999999999999">
      <c r="A114" s="994"/>
      <c r="B114" s="1643"/>
      <c r="C114" s="1643"/>
      <c r="D114" s="358"/>
      <c r="K114" s="1167"/>
      <c r="L114" s="1643"/>
      <c r="M114" s="1643"/>
      <c r="N114" s="1167"/>
      <c r="O114" s="1167"/>
      <c r="P114" s="1167"/>
      <c r="Q114" s="1167"/>
      <c r="R114" s="1643"/>
      <c r="S114" s="1167"/>
      <c r="T114" s="1167"/>
      <c r="U114" s="551"/>
      <c r="V114" s="1167"/>
      <c r="W114" s="1167"/>
      <c r="X114" s="1167"/>
      <c r="Y114" s="1167"/>
      <c r="Z114" s="1167"/>
      <c r="AA114" s="1639"/>
      <c r="AB114" s="573"/>
      <c r="AC114" s="573"/>
      <c r="AD114" s="573"/>
      <c r="AE114" s="573"/>
      <c r="AF114" s="1648">
        <v>11</v>
      </c>
    </row>
    <row s="1648" customFormat="1" customHeight="1" ht="11.549999999999999">
      <c r="A115" s="994"/>
      <c r="B115" s="1643"/>
      <c r="C115" s="1643"/>
      <c r="D115" s="358"/>
      <c r="K115" s="1167"/>
      <c r="L115" s="1643"/>
      <c r="M115" s="1643"/>
      <c r="N115" s="1167"/>
      <c r="O115" s="1167"/>
      <c r="P115" s="1167"/>
      <c r="Q115" s="1167"/>
      <c r="R115" s="1643"/>
      <c r="S115" s="1167"/>
      <c r="T115" s="1167"/>
      <c r="U115" s="551"/>
      <c r="V115" s="1167"/>
      <c r="W115" s="1167"/>
      <c r="X115" s="1167"/>
      <c r="Y115" s="1167"/>
      <c r="Z115" s="1167"/>
      <c r="AA115" s="1639"/>
      <c r="AB115" s="573"/>
      <c r="AC115" s="573"/>
      <c r="AD115" s="573"/>
      <c r="AE115" s="573"/>
      <c r="AF115" s="1648">
        <v>11</v>
      </c>
    </row>
    <row s="1648" customFormat="1" customHeight="1" ht="11.549999999999999">
      <c r="A116" s="994"/>
      <c r="B116" s="1643"/>
      <c r="C116" s="1643"/>
      <c r="D116" s="358"/>
      <c r="K116" s="1167"/>
      <c r="L116" s="1643"/>
      <c r="M116" s="1643"/>
      <c r="N116" s="1167"/>
      <c r="O116" s="1167"/>
      <c r="P116" s="1167"/>
      <c r="Q116" s="1167"/>
      <c r="R116" s="1643"/>
      <c r="S116" s="1167"/>
      <c r="T116" s="1167"/>
      <c r="U116" s="551"/>
      <c r="V116" s="1167"/>
      <c r="W116" s="1167"/>
      <c r="X116" s="1167"/>
      <c r="Y116" s="1167"/>
      <c r="Z116" s="1167"/>
      <c r="AA116" s="1639"/>
      <c r="AB116" s="573"/>
      <c r="AC116" s="573"/>
      <c r="AD116" s="573"/>
      <c r="AE116" s="573"/>
      <c r="AF116" s="1648">
        <v>11</v>
      </c>
    </row>
    <row s="1648" customFormat="1" customHeight="1" ht="11.549999999999999">
      <c r="A117" s="994"/>
      <c r="B117" s="1643"/>
      <c r="C117" s="1643"/>
      <c r="D117" s="358"/>
      <c r="K117" s="1167"/>
      <c r="L117" s="1643"/>
      <c r="M117" s="1643"/>
      <c r="N117" s="1167"/>
      <c r="O117" s="1167"/>
      <c r="P117" s="1167"/>
      <c r="Q117" s="1167"/>
      <c r="R117" s="1643"/>
      <c r="S117" s="1167"/>
      <c r="T117" s="1167"/>
      <c r="U117" s="551"/>
      <c r="V117" s="1167"/>
      <c r="W117" s="1167"/>
      <c r="X117" s="1167"/>
      <c r="Y117" s="1167"/>
      <c r="Z117" s="1167"/>
      <c r="AA117" s="1639"/>
      <c r="AB117" s="573"/>
      <c r="AC117" s="573"/>
      <c r="AD117" s="573"/>
      <c r="AE117" s="573"/>
      <c r="AF117" s="1648">
        <v>11</v>
      </c>
    </row>
    <row s="1648" customFormat="1" customHeight="1" ht="11.549999999999999">
      <c r="A118" s="994"/>
      <c r="B118" s="1643"/>
      <c r="C118" s="1643"/>
      <c r="D118" s="358"/>
      <c r="K118" s="1167"/>
      <c r="L118" s="1643"/>
      <c r="M118" s="1643"/>
      <c r="N118" s="1167"/>
      <c r="O118" s="1167"/>
      <c r="P118" s="1167"/>
      <c r="Q118" s="1167"/>
      <c r="R118" s="1643"/>
      <c r="S118" s="1167"/>
      <c r="T118" s="1167"/>
      <c r="U118" s="551"/>
      <c r="V118" s="1167"/>
      <c r="W118" s="1167"/>
      <c r="X118" s="1167"/>
      <c r="Y118" s="1167"/>
      <c r="Z118" s="1167"/>
      <c r="AA118" s="1639"/>
      <c r="AB118" s="573"/>
      <c r="AC118" s="573"/>
      <c r="AD118" s="573"/>
      <c r="AE118" s="573"/>
      <c r="AF118" s="1648">
        <v>11</v>
      </c>
    </row>
    <row s="1648" customFormat="1" customHeight="1" ht="11.549999999999999">
      <c r="A119" s="994"/>
      <c r="B119" s="1643"/>
      <c r="C119" s="1643"/>
      <c r="D119" s="358"/>
      <c r="K119" s="1167"/>
      <c r="L119" s="1643"/>
      <c r="M119" s="1643"/>
      <c r="N119" s="1167"/>
      <c r="O119" s="1167"/>
      <c r="P119" s="1167"/>
      <c r="Q119" s="1167"/>
      <c r="R119" s="1643"/>
      <c r="S119" s="1167"/>
      <c r="T119" s="1167"/>
      <c r="U119" s="551"/>
      <c r="V119" s="1167"/>
      <c r="W119" s="1167"/>
      <c r="X119" s="1167"/>
      <c r="Y119" s="1167"/>
      <c r="Z119" s="1167"/>
      <c r="AA119" s="1639"/>
      <c r="AB119" s="573"/>
      <c r="AC119" s="573"/>
      <c r="AD119" s="573"/>
      <c r="AE119" s="573"/>
      <c r="AF119" s="1648">
        <v>11</v>
      </c>
    </row>
    <row s="1648" customFormat="1" customHeight="1" ht="11.549999999999999">
      <c r="A120" s="994"/>
      <c r="B120" s="1643"/>
      <c r="C120" s="1643"/>
      <c r="D120" s="358"/>
      <c r="K120" s="1167"/>
      <c r="L120" s="1643"/>
      <c r="M120" s="1643"/>
      <c r="N120" s="1167"/>
      <c r="O120" s="1167"/>
      <c r="P120" s="1167"/>
      <c r="Q120" s="1167"/>
      <c r="R120" s="1643"/>
      <c r="S120" s="1167"/>
      <c r="T120" s="1167"/>
      <c r="U120" s="551"/>
      <c r="V120" s="1167"/>
      <c r="W120" s="1167"/>
      <c r="X120" s="1167"/>
      <c r="Y120" s="1167"/>
      <c r="Z120" s="1167"/>
      <c r="AA120" s="1639"/>
      <c r="AB120" s="573"/>
      <c r="AC120" s="573"/>
      <c r="AD120" s="573"/>
      <c r="AE120" s="573"/>
      <c r="AF120" s="1648">
        <v>11</v>
      </c>
    </row>
    <row s="1648" customFormat="1" customHeight="1" ht="11.549999999999999">
      <c r="A121" s="994"/>
      <c r="B121" s="1643"/>
      <c r="C121" s="1643"/>
      <c r="D121" s="358"/>
      <c r="K121" s="1167"/>
      <c r="L121" s="1643"/>
      <c r="M121" s="1643"/>
      <c r="N121" s="1167"/>
      <c r="O121" s="1167"/>
      <c r="P121" s="1167"/>
      <c r="Q121" s="1167"/>
      <c r="R121" s="1643"/>
      <c r="S121" s="1167"/>
      <c r="T121" s="1167"/>
      <c r="U121" s="551"/>
      <c r="V121" s="1167"/>
      <c r="W121" s="1167"/>
      <c r="X121" s="1167"/>
      <c r="Y121" s="1167"/>
      <c r="Z121" s="1167"/>
      <c r="AA121" s="1639"/>
      <c r="AB121" s="573"/>
      <c r="AC121" s="573"/>
      <c r="AD121" s="573"/>
      <c r="AE121" s="573"/>
      <c r="AF121" s="1648">
        <v>11</v>
      </c>
    </row>
    <row s="1648" customFormat="1" customHeight="1" ht="11.549999999999999">
      <c r="A122" s="994"/>
      <c r="B122" s="1643"/>
      <c r="C122" s="1643"/>
      <c r="D122" s="358"/>
      <c r="K122" s="1167"/>
      <c r="L122" s="1643"/>
      <c r="M122" s="1643"/>
      <c r="N122" s="1167"/>
      <c r="O122" s="1167"/>
      <c r="P122" s="1167"/>
      <c r="Q122" s="1167"/>
      <c r="R122" s="1643"/>
      <c r="S122" s="1167"/>
      <c r="T122" s="1167"/>
      <c r="U122" s="551"/>
      <c r="V122" s="1167"/>
      <c r="W122" s="1167"/>
      <c r="X122" s="1167"/>
      <c r="Y122" s="1167"/>
      <c r="Z122" s="1167"/>
      <c r="AA122" s="1639"/>
      <c r="AB122" s="573"/>
      <c r="AC122" s="573"/>
      <c r="AD122" s="573"/>
      <c r="AE122" s="573"/>
      <c r="AF122" s="1648">
        <v>11</v>
      </c>
    </row>
    <row s="1648" customFormat="1" customHeight="1" ht="11.549999999999999">
      <c r="A123" s="994"/>
      <c r="B123" s="1643"/>
      <c r="C123" s="1643"/>
      <c r="D123" s="358"/>
      <c r="K123" s="1167"/>
      <c r="L123" s="1643"/>
      <c r="M123" s="1643"/>
      <c r="N123" s="1167"/>
      <c r="O123" s="1167"/>
      <c r="P123" s="1167"/>
      <c r="Q123" s="1167"/>
      <c r="R123" s="1643"/>
      <c r="S123" s="1167"/>
      <c r="T123" s="1167"/>
      <c r="U123" s="551"/>
      <c r="V123" s="1167"/>
      <c r="W123" s="1167"/>
      <c r="X123" s="1167"/>
      <c r="Y123" s="1167"/>
      <c r="Z123" s="1167"/>
      <c r="AA123" s="1639"/>
      <c r="AB123" s="573"/>
      <c r="AC123" s="573"/>
      <c r="AD123" s="573"/>
      <c r="AE123" s="573"/>
      <c r="AF123" s="1648">
        <v>11</v>
      </c>
    </row>
    <row s="1648" customFormat="1" customHeight="1" ht="11.549999999999999">
      <c r="A124" s="994"/>
      <c r="B124" s="1643"/>
      <c r="C124" s="1643"/>
      <c r="D124" s="358"/>
      <c r="K124" s="1167"/>
      <c r="L124" s="1643"/>
      <c r="M124" s="1643"/>
      <c r="N124" s="1167"/>
      <c r="O124" s="1167"/>
      <c r="P124" s="1167"/>
      <c r="Q124" s="1167"/>
      <c r="R124" s="1643"/>
      <c r="S124" s="1167"/>
      <c r="T124" s="1167"/>
      <c r="U124" s="551"/>
      <c r="V124" s="1167"/>
      <c r="W124" s="1167"/>
      <c r="X124" s="1167"/>
      <c r="Y124" s="1167"/>
      <c r="Z124" s="1167"/>
      <c r="AA124" s="1639"/>
      <c r="AB124" s="573"/>
      <c r="AC124" s="573"/>
      <c r="AD124" s="573"/>
      <c r="AE124" s="573"/>
      <c r="AF124" s="1648">
        <v>11</v>
      </c>
    </row>
    <row s="1648" customFormat="1" customHeight="1" ht="11.549999999999999">
      <c r="A125" s="994"/>
      <c r="B125" s="1643"/>
      <c r="C125" s="1643"/>
      <c r="D125" s="358"/>
      <c r="K125" s="1167"/>
      <c r="L125" s="1643"/>
      <c r="M125" s="1643"/>
      <c r="N125" s="1167"/>
      <c r="O125" s="1167"/>
      <c r="P125" s="1167"/>
      <c r="Q125" s="1167"/>
      <c r="R125" s="1643"/>
      <c r="S125" s="1167"/>
      <c r="T125" s="1167"/>
      <c r="U125" s="551"/>
      <c r="V125" s="1167"/>
      <c r="W125" s="1167"/>
      <c r="X125" s="1167"/>
      <c r="Y125" s="1167"/>
      <c r="Z125" s="1167"/>
      <c r="AA125" s="1639"/>
      <c r="AB125" s="573"/>
      <c r="AC125" s="573"/>
      <c r="AD125" s="573"/>
      <c r="AE125" s="573"/>
      <c r="AF125" s="1648">
        <v>11</v>
      </c>
    </row>
    <row s="1648" customFormat="1" customHeight="1" ht="11.549999999999999">
      <c r="A126" s="994"/>
      <c r="B126" s="1643"/>
      <c r="C126" s="1643"/>
      <c r="D126" s="358"/>
      <c r="K126" s="1167"/>
      <c r="L126" s="1643"/>
      <c r="M126" s="1643"/>
      <c r="N126" s="1167"/>
      <c r="O126" s="1167"/>
      <c r="P126" s="1167"/>
      <c r="Q126" s="1167"/>
      <c r="R126" s="1643"/>
      <c r="S126" s="1167"/>
      <c r="T126" s="1167"/>
      <c r="U126" s="551"/>
      <c r="V126" s="1167"/>
      <c r="W126" s="1167"/>
      <c r="X126" s="1167"/>
      <c r="Y126" s="1167"/>
      <c r="Z126" s="1167"/>
      <c r="AA126" s="1639"/>
      <c r="AB126" s="573"/>
      <c r="AC126" s="573"/>
      <c r="AD126" s="573"/>
      <c r="AE126" s="573"/>
      <c r="AF126" s="1648">
        <v>11</v>
      </c>
    </row>
    <row s="1648" customFormat="1" customHeight="1" ht="11.549999999999999">
      <c r="A127" s="994"/>
      <c r="B127" s="1643"/>
      <c r="C127" s="1643"/>
      <c r="D127" s="358"/>
      <c r="K127" s="1167"/>
      <c r="L127" s="1643"/>
      <c r="M127" s="1643"/>
      <c r="N127" s="1167"/>
      <c r="O127" s="1167"/>
      <c r="P127" s="1167"/>
      <c r="Q127" s="1167"/>
      <c r="R127" s="1643"/>
      <c r="S127" s="1167"/>
      <c r="T127" s="1167"/>
      <c r="U127" s="551"/>
      <c r="V127" s="1167"/>
      <c r="W127" s="1167"/>
      <c r="X127" s="1167"/>
      <c r="Y127" s="1167"/>
      <c r="Z127" s="1167"/>
      <c r="AA127" s="1639"/>
      <c r="AB127" s="573"/>
      <c r="AC127" s="573"/>
      <c r="AD127" s="573"/>
      <c r="AE127" s="573"/>
      <c r="AF127" s="1648">
        <v>11</v>
      </c>
    </row>
    <row s="1648" customFormat="1" customHeight="1" ht="11.549999999999999">
      <c r="A128" s="994"/>
      <c r="B128" s="1643"/>
      <c r="C128" s="1643"/>
      <c r="D128" s="358"/>
      <c r="K128" s="1167"/>
      <c r="L128" s="1643"/>
      <c r="M128" s="1643"/>
      <c r="N128" s="1167"/>
      <c r="O128" s="1167"/>
      <c r="P128" s="1167"/>
      <c r="Q128" s="1167"/>
      <c r="R128" s="1643"/>
      <c r="S128" s="1167"/>
      <c r="T128" s="1167"/>
      <c r="U128" s="551"/>
      <c r="V128" s="1167"/>
      <c r="W128" s="1167"/>
      <c r="X128" s="1167"/>
      <c r="Y128" s="1167"/>
      <c r="Z128" s="1167"/>
      <c r="AA128" s="1639"/>
      <c r="AB128" s="573"/>
      <c r="AC128" s="573"/>
      <c r="AD128" s="573"/>
      <c r="AE128" s="573"/>
      <c r="AF128" s="1648">
        <v>11</v>
      </c>
    </row>
    <row s="1648" customFormat="1" customHeight="1" ht="11.549999999999999">
      <c r="A129" s="994"/>
      <c r="B129" s="1643"/>
      <c r="C129" s="1643"/>
      <c r="D129" s="358"/>
      <c r="K129" s="1167"/>
      <c r="L129" s="1643"/>
      <c r="M129" s="1643"/>
      <c r="N129" s="1167"/>
      <c r="O129" s="1167"/>
      <c r="P129" s="1167"/>
      <c r="Q129" s="1167"/>
      <c r="R129" s="1643"/>
      <c r="S129" s="1167"/>
      <c r="T129" s="1167"/>
      <c r="U129" s="551"/>
      <c r="V129" s="1167"/>
      <c r="W129" s="1167"/>
      <c r="X129" s="1167"/>
      <c r="Y129" s="1167"/>
      <c r="Z129" s="1167"/>
      <c r="AA129" s="1639"/>
      <c r="AB129" s="573"/>
      <c r="AC129" s="573"/>
      <c r="AD129" s="573"/>
      <c r="AE129" s="573"/>
      <c r="AF129" s="1648">
        <v>11</v>
      </c>
    </row>
    <row s="1648" customFormat="1" customHeight="1" ht="11.549999999999999">
      <c r="A130" s="994"/>
      <c r="B130" s="1643"/>
      <c r="C130" s="1643"/>
      <c r="D130" s="358"/>
      <c r="K130" s="1167"/>
      <c r="L130" s="1643"/>
      <c r="M130" s="1643"/>
      <c r="N130" s="1167"/>
      <c r="O130" s="1167"/>
      <c r="P130" s="1167"/>
      <c r="Q130" s="1167"/>
      <c r="R130" s="1643"/>
      <c r="S130" s="1167"/>
      <c r="T130" s="1167"/>
      <c r="U130" s="551"/>
      <c r="V130" s="1167"/>
      <c r="W130" s="1167"/>
      <c r="X130" s="1167"/>
      <c r="Y130" s="1167"/>
      <c r="Z130" s="1167"/>
      <c r="AA130" s="1639"/>
      <c r="AB130" s="573"/>
      <c r="AC130" s="573"/>
      <c r="AD130" s="573"/>
      <c r="AE130" s="573"/>
      <c r="AF130" s="1648">
        <v>11</v>
      </c>
    </row>
    <row s="1648" customFormat="1" customHeight="1" ht="11.549999999999999">
      <c r="A131" s="994"/>
      <c r="B131" s="1643"/>
      <c r="C131" s="1643"/>
      <c r="D131" s="358"/>
      <c r="K131" s="1167"/>
      <c r="L131" s="1643"/>
      <c r="M131" s="1643"/>
      <c r="N131" s="1167"/>
      <c r="O131" s="1167"/>
      <c r="P131" s="1167"/>
      <c r="Q131" s="1167"/>
      <c r="R131" s="1643"/>
      <c r="S131" s="1167"/>
      <c r="T131" s="1167"/>
      <c r="U131" s="551"/>
      <c r="V131" s="1167"/>
      <c r="W131" s="1167"/>
      <c r="X131" s="1167"/>
      <c r="Y131" s="1167"/>
      <c r="Z131" s="1167"/>
      <c r="AA131" s="1639"/>
      <c r="AB131" s="573"/>
      <c r="AC131" s="573"/>
      <c r="AD131" s="573"/>
      <c r="AE131" s="573"/>
      <c r="AF131" s="1648">
        <v>11</v>
      </c>
    </row>
    <row s="1648" customFormat="1" customHeight="1" ht="11.549999999999999">
      <c r="A132" s="994"/>
      <c r="B132" s="1643"/>
      <c r="C132" s="1643"/>
      <c r="D132" s="358"/>
      <c r="K132" s="1167"/>
      <c r="L132" s="1643"/>
      <c r="M132" s="1643"/>
      <c r="N132" s="1167"/>
      <c r="O132" s="1167"/>
      <c r="P132" s="1167"/>
      <c r="Q132" s="1167"/>
      <c r="R132" s="1643"/>
      <c r="S132" s="1167"/>
      <c r="T132" s="1167"/>
      <c r="U132" s="551"/>
      <c r="V132" s="1167"/>
      <c r="W132" s="1167"/>
      <c r="X132" s="1167"/>
      <c r="Y132" s="1167"/>
      <c r="Z132" s="1167"/>
      <c r="AA132" s="1639"/>
      <c r="AB132" s="573"/>
      <c r="AC132" s="573"/>
      <c r="AD132" s="573"/>
      <c r="AE132" s="573"/>
      <c r="AF132" s="1648">
        <v>11</v>
      </c>
    </row>
    <row s="1648" customFormat="1" customHeight="1" ht="11.549999999999999">
      <c r="A133" s="994"/>
      <c r="B133" s="1643"/>
      <c r="C133" s="1643"/>
      <c r="D133" s="358"/>
      <c r="K133" s="1167"/>
      <c r="L133" s="1643"/>
      <c r="M133" s="1643"/>
      <c r="N133" s="1167"/>
      <c r="O133" s="1167"/>
      <c r="P133" s="1167"/>
      <c r="Q133" s="1167"/>
      <c r="R133" s="1643"/>
      <c r="S133" s="1167"/>
      <c r="T133" s="1167"/>
      <c r="U133" s="551"/>
      <c r="V133" s="1167"/>
      <c r="W133" s="1167"/>
      <c r="X133" s="1167"/>
      <c r="Y133" s="1167"/>
      <c r="Z133" s="1167"/>
      <c r="AA133" s="1639"/>
      <c r="AB133" s="573"/>
      <c r="AC133" s="573"/>
      <c r="AD133" s="573"/>
      <c r="AE133" s="573"/>
      <c r="AF133" s="1648">
        <v>11</v>
      </c>
    </row>
    <row s="1648" customFormat="1" customHeight="1" ht="11.549999999999999">
      <c r="A134" s="994"/>
      <c r="B134" s="1643"/>
      <c r="C134" s="1643"/>
      <c r="D134" s="358"/>
      <c r="K134" s="1167"/>
      <c r="L134" s="1643"/>
      <c r="M134" s="1643"/>
      <c r="N134" s="1167"/>
      <c r="O134" s="1167"/>
      <c r="P134" s="1167"/>
      <c r="Q134" s="1167"/>
      <c r="R134" s="1643"/>
      <c r="S134" s="1167"/>
      <c r="T134" s="1167"/>
      <c r="U134" s="551"/>
      <c r="V134" s="1167"/>
      <c r="W134" s="1167"/>
      <c r="X134" s="1167"/>
      <c r="Y134" s="1167"/>
      <c r="Z134" s="1167"/>
      <c r="AA134" s="1639"/>
      <c r="AB134" s="573"/>
      <c r="AC134" s="573"/>
      <c r="AD134" s="573"/>
      <c r="AE134" s="573"/>
      <c r="AF134" s="1648">
        <v>11</v>
      </c>
    </row>
    <row s="1648" customFormat="1" customHeight="1" ht="11.549999999999999">
      <c r="A135" s="994"/>
      <c r="B135" s="1643"/>
      <c r="C135" s="1643"/>
      <c r="D135" s="358"/>
      <c r="K135" s="1167"/>
      <c r="L135" s="1643"/>
      <c r="M135" s="1643"/>
      <c r="N135" s="1167"/>
      <c r="O135" s="1167"/>
      <c r="P135" s="1167"/>
      <c r="Q135" s="1167"/>
      <c r="R135" s="1643"/>
      <c r="S135" s="1167"/>
      <c r="T135" s="1167"/>
      <c r="U135" s="551"/>
      <c r="V135" s="1167"/>
      <c r="W135" s="1167"/>
      <c r="X135" s="1167"/>
      <c r="Y135" s="1167"/>
      <c r="Z135" s="1167"/>
      <c r="AA135" s="1639"/>
      <c r="AB135" s="573"/>
      <c r="AC135" s="573"/>
      <c r="AD135" s="573"/>
      <c r="AE135" s="573"/>
      <c r="AF135" s="1648">
        <v>11</v>
      </c>
    </row>
    <row s="1648" customFormat="1" customHeight="1" ht="11.549999999999999">
      <c r="A136" s="994"/>
      <c r="B136" s="1643"/>
      <c r="C136" s="1643"/>
      <c r="D136" s="358"/>
      <c r="K136" s="1167"/>
      <c r="L136" s="1643"/>
      <c r="M136" s="1643"/>
      <c r="N136" s="1167"/>
      <c r="O136" s="1167"/>
      <c r="P136" s="1167"/>
      <c r="Q136" s="1167"/>
      <c r="R136" s="1643"/>
      <c r="S136" s="1167"/>
      <c r="T136" s="1167"/>
      <c r="U136" s="551"/>
      <c r="V136" s="1167"/>
      <c r="W136" s="1167"/>
      <c r="X136" s="1167"/>
      <c r="Y136" s="1167"/>
      <c r="Z136" s="1167"/>
      <c r="AA136" s="1639"/>
      <c r="AB136" s="573"/>
      <c r="AC136" s="573"/>
      <c r="AD136" s="573"/>
      <c r="AE136" s="573"/>
      <c r="AF136" s="1648">
        <v>11</v>
      </c>
    </row>
    <row s="1648" customFormat="1" customHeight="1" ht="11.549999999999999">
      <c r="A137" s="994"/>
      <c r="B137" s="1643"/>
      <c r="C137" s="1643"/>
      <c r="D137" s="358"/>
      <c r="K137" s="1167"/>
      <c r="L137" s="1643"/>
      <c r="M137" s="1643"/>
      <c r="N137" s="1167"/>
      <c r="O137" s="1167"/>
      <c r="P137" s="1167"/>
      <c r="Q137" s="1167"/>
      <c r="R137" s="1643"/>
      <c r="S137" s="1167"/>
      <c r="T137" s="1167"/>
      <c r="U137" s="551"/>
      <c r="V137" s="1167"/>
      <c r="W137" s="1167"/>
      <c r="X137" s="1167"/>
      <c r="Y137" s="1167"/>
      <c r="Z137" s="1167"/>
      <c r="AA137" s="1639"/>
      <c r="AB137" s="573"/>
      <c r="AC137" s="573"/>
      <c r="AD137" s="573"/>
      <c r="AE137" s="573"/>
      <c r="AF137" s="1648">
        <v>11</v>
      </c>
    </row>
    <row s="1648" customFormat="1" customHeight="1" ht="11.549999999999999">
      <c r="A138" s="994"/>
      <c r="B138" s="1643"/>
      <c r="C138" s="1643"/>
      <c r="D138" s="358"/>
      <c r="K138" s="1167"/>
      <c r="L138" s="1643"/>
      <c r="M138" s="1643"/>
      <c r="N138" s="1167"/>
      <c r="O138" s="1167"/>
      <c r="P138" s="1167"/>
      <c r="Q138" s="1167"/>
      <c r="R138" s="1643"/>
      <c r="S138" s="1167"/>
      <c r="T138" s="1167"/>
      <c r="U138" s="551"/>
      <c r="V138" s="1167"/>
      <c r="W138" s="1167"/>
      <c r="X138" s="1167"/>
      <c r="Y138" s="1167"/>
      <c r="Z138" s="1167"/>
      <c r="AA138" s="1639"/>
      <c r="AB138" s="573"/>
      <c r="AC138" s="573"/>
      <c r="AD138" s="573"/>
      <c r="AE138" s="573"/>
      <c r="AF138" s="1648">
        <v>11</v>
      </c>
    </row>
    <row s="1648" customFormat="1" customHeight="1" ht="11.549999999999999">
      <c r="A139" s="994"/>
      <c r="B139" s="1643"/>
      <c r="C139" s="1643"/>
      <c r="D139" s="358"/>
      <c r="K139" s="1167"/>
      <c r="L139" s="1643"/>
      <c r="M139" s="1643"/>
      <c r="N139" s="1167"/>
      <c r="O139" s="1167"/>
      <c r="P139" s="1167"/>
      <c r="Q139" s="1167"/>
      <c r="R139" s="1643"/>
      <c r="S139" s="1167"/>
      <c r="T139" s="1167"/>
      <c r="U139" s="551"/>
      <c r="V139" s="1167"/>
      <c r="W139" s="1167"/>
      <c r="X139" s="1167"/>
      <c r="Y139" s="1167"/>
      <c r="Z139" s="1167"/>
      <c r="AA139" s="1639"/>
      <c r="AB139" s="573"/>
      <c r="AC139" s="573"/>
      <c r="AD139" s="573"/>
      <c r="AE139" s="573"/>
      <c r="AF139" s="1648">
        <v>11</v>
      </c>
    </row>
    <row s="1648" customFormat="1" customHeight="1" ht="11.549999999999999">
      <c r="A140" s="994"/>
      <c r="B140" s="1643"/>
      <c r="C140" s="1643"/>
      <c r="D140" s="358"/>
      <c r="K140" s="1167"/>
      <c r="L140" s="1643"/>
      <c r="M140" s="1643"/>
      <c r="N140" s="1167"/>
      <c r="O140" s="1167"/>
      <c r="P140" s="1167"/>
      <c r="Q140" s="1167"/>
      <c r="R140" s="1643"/>
      <c r="S140" s="1167"/>
      <c r="T140" s="1167"/>
      <c r="U140" s="551"/>
      <c r="V140" s="1167"/>
      <c r="W140" s="1167"/>
      <c r="X140" s="1167"/>
      <c r="Y140" s="1167"/>
      <c r="Z140" s="1167"/>
      <c r="AA140" s="1639"/>
      <c r="AB140" s="573"/>
      <c r="AC140" s="573"/>
      <c r="AD140" s="573"/>
      <c r="AE140" s="573"/>
      <c r="AF140" s="1648">
        <v>11</v>
      </c>
    </row>
    <row s="1648" customFormat="1" customHeight="1" ht="11.549999999999999">
      <c r="A141" s="994"/>
      <c r="B141" s="1643"/>
      <c r="C141" s="1643"/>
      <c r="D141" s="358"/>
      <c r="K141" s="1167"/>
      <c r="L141" s="1643"/>
      <c r="M141" s="1643"/>
      <c r="N141" s="1167"/>
      <c r="O141" s="1167"/>
      <c r="P141" s="1167"/>
      <c r="Q141" s="1167"/>
      <c r="R141" s="1643"/>
      <c r="S141" s="1167"/>
      <c r="T141" s="1167"/>
      <c r="U141" s="551"/>
      <c r="V141" s="1167"/>
      <c r="W141" s="1167"/>
      <c r="X141" s="1167"/>
      <c r="Y141" s="1167"/>
      <c r="Z141" s="1167"/>
      <c r="AA141" s="1639"/>
      <c r="AB141" s="573"/>
      <c r="AC141" s="573"/>
      <c r="AD141" s="573"/>
      <c r="AE141" s="573"/>
      <c r="AF141" s="1648">
        <v>11</v>
      </c>
    </row>
    <row s="1648" customFormat="1" customHeight="1" ht="11.549999999999999">
      <c r="A142" s="994"/>
      <c r="B142" s="1643"/>
      <c r="C142" s="1643"/>
      <c r="D142" s="358"/>
      <c r="K142" s="1167"/>
      <c r="L142" s="1643"/>
      <c r="M142" s="1643"/>
      <c r="N142" s="1167"/>
      <c r="O142" s="1167"/>
      <c r="P142" s="1167"/>
      <c r="Q142" s="1167"/>
      <c r="R142" s="1643"/>
      <c r="S142" s="1167"/>
      <c r="T142" s="1167"/>
      <c r="U142" s="551"/>
      <c r="V142" s="1167"/>
      <c r="W142" s="1167"/>
      <c r="X142" s="1167"/>
      <c r="Y142" s="1167"/>
      <c r="Z142" s="1167"/>
      <c r="AA142" s="1639"/>
      <c r="AB142" s="573"/>
      <c r="AC142" s="573"/>
      <c r="AD142" s="573"/>
      <c r="AE142" s="573"/>
      <c r="AF142" s="1648">
        <v>11</v>
      </c>
    </row>
    <row s="1648" customFormat="1" customHeight="1" ht="11.549999999999999">
      <c r="A143" s="994"/>
      <c r="B143" s="1643"/>
      <c r="C143" s="1643"/>
      <c r="D143" s="358"/>
      <c r="K143" s="1167"/>
      <c r="L143" s="1643"/>
      <c r="M143" s="1643"/>
      <c r="N143" s="1167"/>
      <c r="O143" s="1167"/>
      <c r="P143" s="1167"/>
      <c r="Q143" s="1167"/>
      <c r="R143" s="1643"/>
      <c r="S143" s="1167"/>
      <c r="T143" s="1167"/>
      <c r="U143" s="551"/>
      <c r="V143" s="1167"/>
      <c r="W143" s="1167"/>
      <c r="X143" s="1167"/>
      <c r="Y143" s="1167"/>
      <c r="Z143" s="1167"/>
      <c r="AA143" s="1639"/>
      <c r="AB143" s="573"/>
      <c r="AC143" s="573"/>
      <c r="AD143" s="573"/>
      <c r="AE143" s="573"/>
      <c r="AF143" s="1648">
        <v>11</v>
      </c>
    </row>
    <row s="1648" customFormat="1" customHeight="1" ht="11.549999999999999">
      <c r="A144" s="994"/>
      <c r="B144" s="1643"/>
      <c r="C144" s="1643"/>
      <c r="D144" s="358"/>
      <c r="K144" s="1167"/>
      <c r="L144" s="1643"/>
      <c r="M144" s="1643"/>
      <c r="N144" s="1167"/>
      <c r="O144" s="1167"/>
      <c r="P144" s="1167"/>
      <c r="Q144" s="1167"/>
      <c r="R144" s="1643"/>
      <c r="S144" s="1167"/>
      <c r="T144" s="1167"/>
      <c r="U144" s="551"/>
      <c r="V144" s="1167"/>
      <c r="W144" s="1167"/>
      <c r="X144" s="1167"/>
      <c r="Y144" s="1167"/>
      <c r="Z144" s="1167"/>
      <c r="AA144" s="1639"/>
      <c r="AB144" s="573"/>
      <c r="AC144" s="573"/>
      <c r="AD144" s="573"/>
      <c r="AE144" s="573"/>
      <c r="AF144" s="1648">
        <v>11</v>
      </c>
    </row>
    <row s="1648" customFormat="1" customHeight="1" ht="11.549999999999999">
      <c r="A145" s="994"/>
      <c r="B145" s="1643"/>
      <c r="C145" s="1643"/>
      <c r="D145" s="358"/>
      <c r="K145" s="1167"/>
      <c r="L145" s="1643"/>
      <c r="M145" s="1643"/>
      <c r="N145" s="1167"/>
      <c r="O145" s="1167"/>
      <c r="P145" s="1167"/>
      <c r="Q145" s="1167"/>
      <c r="R145" s="1643"/>
      <c r="S145" s="1167"/>
      <c r="T145" s="1167"/>
      <c r="U145" s="551"/>
      <c r="V145" s="1167"/>
      <c r="W145" s="1167"/>
      <c r="X145" s="1167"/>
      <c r="Y145" s="1167"/>
      <c r="Z145" s="1167"/>
      <c r="AA145" s="1639"/>
      <c r="AB145" s="573"/>
      <c r="AC145" s="573"/>
      <c r="AD145" s="573"/>
      <c r="AE145" s="573"/>
      <c r="AF145" s="1648">
        <v>11</v>
      </c>
    </row>
    <row s="1648" customFormat="1" customHeight="1" ht="11.549999999999999">
      <c r="A146" s="994"/>
      <c r="B146" s="1643"/>
      <c r="C146" s="1643"/>
      <c r="D146" s="358"/>
      <c r="K146" s="1167"/>
      <c r="L146" s="1643"/>
      <c r="M146" s="1643"/>
      <c r="N146" s="1167"/>
      <c r="O146" s="1167"/>
      <c r="P146" s="1167"/>
      <c r="Q146" s="1167"/>
      <c r="R146" s="1643"/>
      <c r="S146" s="1167"/>
      <c r="T146" s="1167"/>
      <c r="U146" s="551"/>
      <c r="V146" s="1167"/>
      <c r="W146" s="1167"/>
      <c r="X146" s="1167"/>
      <c r="Y146" s="1167"/>
      <c r="Z146" s="1167"/>
      <c r="AA146" s="1639"/>
      <c r="AB146" s="573"/>
      <c r="AC146" s="573"/>
      <c r="AD146" s="573"/>
      <c r="AE146" s="573"/>
      <c r="AF146" s="1648">
        <v>11</v>
      </c>
    </row>
    <row s="1648" customFormat="1" customHeight="1" ht="11.549999999999999">
      <c r="A147" s="994"/>
      <c r="B147" s="1643"/>
      <c r="C147" s="1643"/>
      <c r="D147" s="358"/>
      <c r="K147" s="1167"/>
      <c r="L147" s="1643"/>
      <c r="M147" s="1643"/>
      <c r="N147" s="1167"/>
      <c r="O147" s="1167"/>
      <c r="P147" s="1167"/>
      <c r="Q147" s="1167"/>
      <c r="R147" s="1643"/>
      <c r="S147" s="1167"/>
      <c r="T147" s="1167"/>
      <c r="U147" s="551"/>
      <c r="V147" s="1167"/>
      <c r="W147" s="1167"/>
      <c r="X147" s="1167"/>
      <c r="Y147" s="1167"/>
      <c r="Z147" s="1167"/>
      <c r="AA147" s="1639"/>
      <c r="AB147" s="573"/>
      <c r="AC147" s="573"/>
      <c r="AD147" s="573"/>
      <c r="AE147" s="573"/>
      <c r="AF147" s="1648">
        <v>11</v>
      </c>
    </row>
    <row s="1648" customFormat="1" customHeight="1" ht="11.549999999999999">
      <c r="A148" s="994"/>
      <c r="B148" s="1643"/>
      <c r="C148" s="1643"/>
      <c r="D148" s="358"/>
      <c r="K148" s="1167"/>
      <c r="L148" s="1643"/>
      <c r="M148" s="1643"/>
      <c r="N148" s="1167"/>
      <c r="O148" s="1167"/>
      <c r="P148" s="1167"/>
      <c r="Q148" s="1167"/>
      <c r="R148" s="1643"/>
      <c r="S148" s="1167"/>
      <c r="T148" s="1167"/>
      <c r="U148" s="551"/>
      <c r="V148" s="1167"/>
      <c r="W148" s="1167"/>
      <c r="X148" s="1167"/>
      <c r="Y148" s="1167"/>
      <c r="Z148" s="1167"/>
      <c r="AA148" s="1639"/>
      <c r="AB148" s="573"/>
      <c r="AC148" s="573"/>
      <c r="AD148" s="573"/>
      <c r="AE148" s="573"/>
      <c r="AF148" s="1648">
        <v>11</v>
      </c>
    </row>
    <row s="1648" customFormat="1" customHeight="1" ht="11.549999999999999">
      <c r="A149" s="994"/>
      <c r="B149" s="1643"/>
      <c r="C149" s="1643"/>
      <c r="D149" s="358"/>
      <c r="K149" s="1167"/>
      <c r="L149" s="1643"/>
      <c r="M149" s="1643"/>
      <c r="N149" s="1167"/>
      <c r="O149" s="1167"/>
      <c r="P149" s="1167"/>
      <c r="Q149" s="1167"/>
      <c r="R149" s="1643"/>
      <c r="S149" s="1167"/>
      <c r="T149" s="1167"/>
      <c r="U149" s="551"/>
      <c r="V149" s="1167"/>
      <c r="W149" s="1167"/>
      <c r="X149" s="1167"/>
      <c r="Y149" s="1167"/>
      <c r="Z149" s="1167"/>
      <c r="AA149" s="1639"/>
      <c r="AB149" s="573"/>
      <c r="AC149" s="573"/>
      <c r="AD149" s="573"/>
      <c r="AE149" s="573"/>
      <c r="AF149" s="1648">
        <v>11</v>
      </c>
    </row>
    <row s="1648" customFormat="1" customHeight="1" ht="11.549999999999999">
      <c r="A150" s="994"/>
      <c r="B150" s="1643"/>
      <c r="C150" s="1643"/>
      <c r="D150" s="358"/>
      <c r="K150" s="1167"/>
      <c r="L150" s="1643"/>
      <c r="M150" s="1643"/>
      <c r="N150" s="1167"/>
      <c r="O150" s="1167"/>
      <c r="P150" s="1167"/>
      <c r="Q150" s="1167"/>
      <c r="R150" s="1643"/>
      <c r="S150" s="1167"/>
      <c r="T150" s="1167"/>
      <c r="U150" s="551"/>
      <c r="V150" s="1167"/>
      <c r="W150" s="1167"/>
      <c r="X150" s="1167"/>
      <c r="Y150" s="1167"/>
      <c r="Z150" s="1167"/>
      <c r="AA150" s="1639"/>
      <c r="AB150" s="573"/>
      <c r="AC150" s="573"/>
      <c r="AD150" s="573"/>
      <c r="AE150" s="573"/>
      <c r="AF150" s="1648">
        <v>11</v>
      </c>
    </row>
    <row s="1648" customFormat="1" customHeight="1" ht="11.549999999999999">
      <c r="A151" s="994"/>
      <c r="B151" s="1643"/>
      <c r="C151" s="1643"/>
      <c r="D151" s="358"/>
      <c r="K151" s="1167"/>
      <c r="L151" s="1643"/>
      <c r="M151" s="1643"/>
      <c r="N151" s="1167"/>
      <c r="O151" s="1167"/>
      <c r="P151" s="1167"/>
      <c r="Q151" s="1167"/>
      <c r="R151" s="1643"/>
      <c r="S151" s="1167"/>
      <c r="T151" s="1167"/>
      <c r="U151" s="551"/>
      <c r="V151" s="1167"/>
      <c r="W151" s="1167"/>
      <c r="X151" s="1167"/>
      <c r="Y151" s="1167"/>
      <c r="Z151" s="1167"/>
      <c r="AA151" s="1639"/>
      <c r="AB151" s="573"/>
      <c r="AC151" s="573"/>
      <c r="AD151" s="573"/>
      <c r="AE151" s="573"/>
      <c r="AF151" s="1648">
        <v>11</v>
      </c>
    </row>
    <row s="1648" customFormat="1" customHeight="1" ht="11.549999999999999">
      <c r="A152" s="994"/>
      <c r="B152" s="1643"/>
      <c r="C152" s="1643"/>
      <c r="D152" s="358"/>
      <c r="K152" s="1167"/>
      <c r="L152" s="1643"/>
      <c r="M152" s="1643"/>
      <c r="N152" s="1167"/>
      <c r="O152" s="1167"/>
      <c r="P152" s="1167"/>
      <c r="Q152" s="1167"/>
      <c r="R152" s="1643"/>
      <c r="S152" s="1167"/>
      <c r="T152" s="1167"/>
      <c r="U152" s="551"/>
      <c r="V152" s="1167"/>
      <c r="W152" s="1167"/>
      <c r="X152" s="1167"/>
      <c r="Y152" s="1167"/>
      <c r="Z152" s="1167"/>
      <c r="AA152" s="1639"/>
      <c r="AB152" s="573"/>
      <c r="AC152" s="573"/>
      <c r="AD152" s="573"/>
      <c r="AE152" s="573"/>
      <c r="AF152" s="1648">
        <v>11</v>
      </c>
    </row>
    <row s="1648" customFormat="1" customHeight="1" ht="11.549999999999999">
      <c r="A153" s="994"/>
      <c r="B153" s="1643"/>
      <c r="C153" s="1643"/>
      <c r="D153" s="358"/>
      <c r="K153" s="1167"/>
      <c r="L153" s="1643"/>
      <c r="M153" s="1643"/>
      <c r="N153" s="1167"/>
      <c r="O153" s="1167"/>
      <c r="P153" s="1167"/>
      <c r="Q153" s="1167"/>
      <c r="R153" s="1643"/>
      <c r="S153" s="1167"/>
      <c r="T153" s="1167"/>
      <c r="U153" s="551"/>
      <c r="V153" s="1167"/>
      <c r="W153" s="1167"/>
      <c r="X153" s="1167"/>
      <c r="Y153" s="1167"/>
      <c r="Z153" s="1167"/>
      <c r="AA153" s="1639"/>
      <c r="AB153" s="573"/>
      <c r="AC153" s="573"/>
      <c r="AD153" s="573"/>
      <c r="AE153" s="573"/>
      <c r="AF153" s="1648">
        <v>11</v>
      </c>
    </row>
    <row s="1648" customFormat="1" customHeight="1" ht="11.549999999999999">
      <c r="A154" s="994"/>
      <c r="B154" s="1643"/>
      <c r="C154" s="1643"/>
      <c r="D154" s="358"/>
      <c r="K154" s="1167"/>
      <c r="L154" s="1643"/>
      <c r="M154" s="1643"/>
      <c r="N154" s="1167"/>
      <c r="O154" s="1167"/>
      <c r="P154" s="1167"/>
      <c r="Q154" s="1167"/>
      <c r="R154" s="1643"/>
      <c r="S154" s="1167"/>
      <c r="T154" s="1167"/>
      <c r="U154" s="551"/>
      <c r="V154" s="1167"/>
      <c r="W154" s="1167"/>
      <c r="X154" s="1167"/>
      <c r="Y154" s="1167"/>
      <c r="Z154" s="1167"/>
      <c r="AA154" s="1639"/>
      <c r="AB154" s="573"/>
      <c r="AC154" s="573"/>
      <c r="AD154" s="573"/>
      <c r="AE154" s="573"/>
      <c r="AF154" s="1648">
        <v>11</v>
      </c>
    </row>
    <row s="1648" customFormat="1" customHeight="1" ht="11.549999999999999">
      <c r="A155" s="994"/>
      <c r="B155" s="1643"/>
      <c r="C155" s="1643"/>
      <c r="D155" s="358"/>
      <c r="K155" s="1167"/>
      <c r="L155" s="1643"/>
      <c r="M155" s="1643"/>
      <c r="N155" s="1167"/>
      <c r="O155" s="1167"/>
      <c r="P155" s="1167"/>
      <c r="Q155" s="1167"/>
      <c r="R155" s="1643"/>
      <c r="S155" s="1167"/>
      <c r="T155" s="1167"/>
      <c r="U155" s="551"/>
      <c r="V155" s="1167"/>
      <c r="W155" s="1167"/>
      <c r="X155" s="1167"/>
      <c r="Y155" s="1167"/>
      <c r="Z155" s="1167"/>
      <c r="AA155" s="1639"/>
      <c r="AB155" s="573"/>
      <c r="AC155" s="573"/>
      <c r="AD155" s="573"/>
      <c r="AE155" s="573"/>
      <c r="AF155" s="1648">
        <v>11</v>
      </c>
    </row>
    <row s="1648" customFormat="1" customHeight="1" ht="11.549999999999999">
      <c r="A156" s="994"/>
      <c r="B156" s="1643"/>
      <c r="C156" s="1643"/>
      <c r="D156" s="358"/>
      <c r="K156" s="1167"/>
      <c r="L156" s="1643"/>
      <c r="M156" s="1643"/>
      <c r="N156" s="1167"/>
      <c r="O156" s="1167"/>
      <c r="P156" s="1167"/>
      <c r="Q156" s="1167"/>
      <c r="R156" s="1643"/>
      <c r="S156" s="1167"/>
      <c r="T156" s="1167"/>
      <c r="U156" s="551"/>
      <c r="V156" s="1167"/>
      <c r="W156" s="1167"/>
      <c r="X156" s="1167"/>
      <c r="Y156" s="1167"/>
      <c r="Z156" s="1167"/>
      <c r="AA156" s="1639"/>
      <c r="AB156" s="573"/>
      <c r="AC156" s="573"/>
      <c r="AD156" s="573"/>
      <c r="AE156" s="573"/>
      <c r="AF156" s="1648">
        <v>11</v>
      </c>
    </row>
    <row s="1648" customFormat="1" customHeight="1" ht="11.549999999999999">
      <c r="A157" s="994"/>
      <c r="B157" s="1643"/>
      <c r="C157" s="1643"/>
      <c r="D157" s="358"/>
      <c r="K157" s="1167"/>
      <c r="L157" s="1643"/>
      <c r="M157" s="1643"/>
      <c r="N157" s="1167"/>
      <c r="O157" s="1167"/>
      <c r="P157" s="1167"/>
      <c r="Q157" s="1167"/>
      <c r="R157" s="1643"/>
      <c r="S157" s="1167"/>
      <c r="T157" s="1167"/>
      <c r="U157" s="551"/>
      <c r="V157" s="1167"/>
      <c r="W157" s="1167"/>
      <c r="X157" s="1167"/>
      <c r="Y157" s="1167"/>
      <c r="Z157" s="1167"/>
      <c r="AA157" s="1639"/>
      <c r="AB157" s="573"/>
      <c r="AC157" s="573"/>
      <c r="AD157" s="573"/>
      <c r="AE157" s="573"/>
      <c r="AF157" s="1648">
        <v>11</v>
      </c>
    </row>
    <row s="1648" customFormat="1" customHeight="1" ht="11.549999999999999">
      <c r="A158" s="994"/>
      <c r="B158" s="1643"/>
      <c r="C158" s="1643"/>
      <c r="D158" s="358"/>
      <c r="K158" s="1167"/>
      <c r="L158" s="1643"/>
      <c r="M158" s="1643"/>
      <c r="N158" s="1167"/>
      <c r="O158" s="1167"/>
      <c r="P158" s="1167"/>
      <c r="Q158" s="1167"/>
      <c r="R158" s="1643"/>
      <c r="S158" s="1167"/>
      <c r="T158" s="1167"/>
      <c r="U158" s="551"/>
      <c r="V158" s="1167"/>
      <c r="W158" s="1167"/>
      <c r="X158" s="1167"/>
      <c r="Y158" s="1167"/>
      <c r="Z158" s="1167"/>
      <c r="AA158" s="1639"/>
      <c r="AB158" s="573"/>
      <c r="AC158" s="573"/>
      <c r="AD158" s="573"/>
      <c r="AE158" s="573"/>
      <c r="AF158" s="1648">
        <v>11</v>
      </c>
    </row>
    <row s="1648" customFormat="1" customHeight="1" ht="11.549999999999999">
      <c r="A159" s="994"/>
      <c r="B159" s="1643"/>
      <c r="C159" s="1643"/>
      <c r="D159" s="358"/>
      <c r="K159" s="1167"/>
      <c r="L159" s="1643"/>
      <c r="M159" s="1643"/>
      <c r="N159" s="1167"/>
      <c r="O159" s="1167"/>
      <c r="P159" s="1167"/>
      <c r="Q159" s="1167"/>
      <c r="R159" s="1643"/>
      <c r="S159" s="1167"/>
      <c r="T159" s="1167"/>
      <c r="U159" s="551"/>
      <c r="V159" s="1167"/>
      <c r="W159" s="1167"/>
      <c r="X159" s="1167"/>
      <c r="Y159" s="1167"/>
      <c r="Z159" s="1167"/>
      <c r="AA159" s="1639"/>
      <c r="AB159" s="573"/>
      <c r="AC159" s="573"/>
      <c r="AD159" s="573"/>
      <c r="AE159" s="573"/>
      <c r="AF159" s="1648">
        <v>11</v>
      </c>
    </row>
    <row s="1648" customFormat="1" customHeight="1" ht="11.549999999999999">
      <c r="A160" s="994"/>
      <c r="B160" s="1643"/>
      <c r="C160" s="1643"/>
      <c r="D160" s="358"/>
      <c r="K160" s="1167"/>
      <c r="L160" s="1643"/>
      <c r="M160" s="1643"/>
      <c r="N160" s="1167"/>
      <c r="O160" s="1167"/>
      <c r="P160" s="1167"/>
      <c r="Q160" s="1167"/>
      <c r="R160" s="1643"/>
      <c r="S160" s="1167"/>
      <c r="T160" s="1167"/>
      <c r="U160" s="551"/>
      <c r="V160" s="1167"/>
      <c r="W160" s="1167"/>
      <c r="X160" s="1167"/>
      <c r="Y160" s="1167"/>
      <c r="Z160" s="1167"/>
      <c r="AA160" s="1639"/>
      <c r="AB160" s="573"/>
      <c r="AC160" s="573"/>
      <c r="AD160" s="573"/>
      <c r="AE160" s="573"/>
      <c r="AF160" s="1648">
        <v>11</v>
      </c>
    </row>
    <row s="1648" customFormat="1" customHeight="1" ht="11.549999999999999">
      <c r="A161" s="994"/>
      <c r="B161" s="1643"/>
      <c r="C161" s="1643"/>
      <c r="D161" s="358"/>
      <c r="K161" s="1167"/>
      <c r="L161" s="1643"/>
      <c r="M161" s="1643"/>
      <c r="N161" s="1167"/>
      <c r="O161" s="1167"/>
      <c r="P161" s="1167"/>
      <c r="Q161" s="1167"/>
      <c r="R161" s="1643"/>
      <c r="S161" s="1167"/>
      <c r="T161" s="1167"/>
      <c r="U161" s="551"/>
      <c r="V161" s="1167"/>
      <c r="W161" s="1167"/>
      <c r="X161" s="1167"/>
      <c r="Y161" s="1167"/>
      <c r="Z161" s="1167"/>
      <c r="AA161" s="1639"/>
      <c r="AB161" s="573"/>
      <c r="AC161" s="573"/>
      <c r="AD161" s="573"/>
      <c r="AE161" s="573"/>
      <c r="AF161" s="1648">
        <v>11</v>
      </c>
    </row>
    <row s="1648" customFormat="1" customHeight="1" ht="11.549999999999999">
      <c r="A162" s="994"/>
      <c r="B162" s="1643"/>
      <c r="C162" s="1643"/>
      <c r="D162" s="358"/>
      <c r="K162" s="1167"/>
      <c r="L162" s="1643"/>
      <c r="M162" s="1643"/>
      <c r="N162" s="1167"/>
      <c r="O162" s="1167"/>
      <c r="P162" s="1167"/>
      <c r="Q162" s="1167"/>
      <c r="R162" s="1643"/>
      <c r="S162" s="1167"/>
      <c r="T162" s="1167"/>
      <c r="U162" s="551"/>
      <c r="V162" s="1167"/>
      <c r="W162" s="1167"/>
      <c r="X162" s="1167"/>
      <c r="Y162" s="1167"/>
      <c r="Z162" s="1167"/>
      <c r="AA162" s="1639"/>
      <c r="AB162" s="573"/>
      <c r="AC162" s="573"/>
      <c r="AD162" s="573"/>
      <c r="AE162" s="573"/>
      <c r="AF162" s="1648">
        <v>11</v>
      </c>
    </row>
    <row s="1648" customFormat="1" customHeight="1" ht="11.549999999999999">
      <c r="A163" s="994"/>
      <c r="B163" s="1643"/>
      <c r="C163" s="1643"/>
      <c r="D163" s="358"/>
      <c r="K163" s="1167"/>
      <c r="L163" s="1643"/>
      <c r="M163" s="1643"/>
      <c r="N163" s="1167"/>
      <c r="O163" s="1167"/>
      <c r="P163" s="1167"/>
      <c r="Q163" s="1167"/>
      <c r="R163" s="1643"/>
      <c r="S163" s="1167"/>
      <c r="T163" s="1167"/>
      <c r="U163" s="551"/>
      <c r="V163" s="1167"/>
      <c r="W163" s="1167"/>
      <c r="X163" s="1167"/>
      <c r="Y163" s="1167"/>
      <c r="Z163" s="1167"/>
      <c r="AA163" s="1639"/>
      <c r="AB163" s="573"/>
      <c r="AC163" s="573"/>
      <c r="AD163" s="573"/>
      <c r="AE163" s="573"/>
      <c r="AF163" s="1648">
        <v>11</v>
      </c>
    </row>
    <row s="1648" customFormat="1" customHeight="1" ht="11.549999999999999">
      <c r="A164" s="994"/>
      <c r="B164" s="1643"/>
      <c r="C164" s="1643"/>
      <c r="D164" s="358"/>
      <c r="K164" s="1167"/>
      <c r="L164" s="1643"/>
      <c r="M164" s="1643"/>
      <c r="N164" s="1167"/>
      <c r="O164" s="1167"/>
      <c r="P164" s="1167"/>
      <c r="Q164" s="1167"/>
      <c r="R164" s="1643"/>
      <c r="S164" s="1167"/>
      <c r="T164" s="1167"/>
      <c r="U164" s="551"/>
      <c r="V164" s="1167"/>
      <c r="W164" s="1167"/>
      <c r="X164" s="1167"/>
      <c r="Y164" s="1167"/>
      <c r="Z164" s="1167"/>
      <c r="AA164" s="1639"/>
      <c r="AB164" s="573"/>
      <c r="AC164" s="573"/>
      <c r="AD164" s="573"/>
      <c r="AE164" s="573"/>
      <c r="AF164" s="1648">
        <v>11</v>
      </c>
    </row>
    <row s="1648" customFormat="1" customHeight="1" ht="11.549999999999999">
      <c r="A165" s="994"/>
      <c r="B165" s="1643"/>
      <c r="C165" s="1643"/>
      <c r="D165" s="358"/>
      <c r="K165" s="1167"/>
      <c r="L165" s="1643"/>
      <c r="M165" s="1643"/>
      <c r="N165" s="1167"/>
      <c r="O165" s="1167"/>
      <c r="P165" s="1167"/>
      <c r="Q165" s="1167"/>
      <c r="R165" s="1643"/>
      <c r="S165" s="1167"/>
      <c r="T165" s="1167"/>
      <c r="U165" s="551"/>
      <c r="V165" s="1167"/>
      <c r="W165" s="1167"/>
      <c r="X165" s="1167"/>
      <c r="Y165" s="1167"/>
      <c r="Z165" s="1167"/>
      <c r="AA165" s="1639"/>
      <c r="AB165" s="573"/>
      <c r="AC165" s="573"/>
      <c r="AD165" s="573"/>
      <c r="AE165" s="573"/>
      <c r="AF165" s="1648">
        <v>11</v>
      </c>
    </row>
    <row s="1648" customFormat="1" customHeight="1" ht="11.549999999999999">
      <c r="A166" s="994"/>
      <c r="B166" s="1643"/>
      <c r="C166" s="1643"/>
      <c r="D166" s="358"/>
      <c r="K166" s="1167"/>
      <c r="L166" s="1643"/>
      <c r="M166" s="1643"/>
      <c r="N166" s="1167"/>
      <c r="O166" s="1167"/>
      <c r="P166" s="1167"/>
      <c r="Q166" s="1167"/>
      <c r="R166" s="1643"/>
      <c r="S166" s="1167"/>
      <c r="T166" s="1167"/>
      <c r="U166" s="551"/>
      <c r="V166" s="1167"/>
      <c r="W166" s="1167"/>
      <c r="X166" s="1167"/>
      <c r="Y166" s="1167"/>
      <c r="Z166" s="1167"/>
      <c r="AA166" s="1639"/>
      <c r="AB166" s="573"/>
      <c r="AC166" s="573"/>
      <c r="AD166" s="573"/>
      <c r="AE166" s="573"/>
      <c r="AF166" s="1648">
        <v>11</v>
      </c>
    </row>
    <row s="1648" customFormat="1" customHeight="1" ht="11.549999999999999">
      <c r="A167" s="994"/>
      <c r="B167" s="1643"/>
      <c r="C167" s="1643"/>
      <c r="D167" s="358"/>
      <c r="K167" s="1167"/>
      <c r="L167" s="1643"/>
      <c r="M167" s="1643"/>
      <c r="N167" s="1167"/>
      <c r="O167" s="1167"/>
      <c r="P167" s="1167"/>
      <c r="Q167" s="1167"/>
      <c r="R167" s="1643"/>
      <c r="S167" s="1167"/>
      <c r="T167" s="1167"/>
      <c r="U167" s="551"/>
      <c r="V167" s="1167"/>
      <c r="W167" s="1167"/>
      <c r="X167" s="1167"/>
      <c r="Y167" s="1167"/>
      <c r="Z167" s="1167"/>
      <c r="AA167" s="1639"/>
      <c r="AB167" s="573"/>
      <c r="AC167" s="573"/>
      <c r="AD167" s="573"/>
      <c r="AE167" s="573"/>
      <c r="AF167" s="1648">
        <v>11</v>
      </c>
    </row>
    <row s="1648" customFormat="1" customHeight="1" ht="11.549999999999999">
      <c r="A168" s="994"/>
      <c r="B168" s="1643"/>
      <c r="C168" s="1643"/>
      <c r="D168" s="358"/>
      <c r="K168" s="1167"/>
      <c r="L168" s="1643"/>
      <c r="M168" s="1643"/>
      <c r="N168" s="1167"/>
      <c r="O168" s="1167"/>
      <c r="P168" s="1167"/>
      <c r="Q168" s="1167"/>
      <c r="R168" s="1643"/>
      <c r="S168" s="1167"/>
      <c r="T168" s="1167"/>
      <c r="U168" s="551"/>
      <c r="V168" s="1167"/>
      <c r="W168" s="1167"/>
      <c r="X168" s="1167"/>
      <c r="Y168" s="1167"/>
      <c r="Z168" s="1167"/>
      <c r="AA168" s="1639"/>
      <c r="AB168" s="573"/>
      <c r="AC168" s="573"/>
      <c r="AD168" s="573"/>
      <c r="AE168" s="573"/>
      <c r="AF168" s="1648">
        <v>11</v>
      </c>
    </row>
    <row s="1648" customFormat="1" customHeight="1" ht="11.549999999999999">
      <c r="A169" s="994"/>
      <c r="B169" s="1643"/>
      <c r="C169" s="1643"/>
      <c r="D169" s="358"/>
      <c r="K169" s="1167"/>
      <c r="L169" s="1643"/>
      <c r="M169" s="1643"/>
      <c r="N169" s="1167"/>
      <c r="O169" s="1167"/>
      <c r="P169" s="1167"/>
      <c r="Q169" s="1167"/>
      <c r="R169" s="1643"/>
      <c r="S169" s="1167"/>
      <c r="T169" s="1167"/>
      <c r="U169" s="551"/>
      <c r="V169" s="1167"/>
      <c r="W169" s="1167"/>
      <c r="X169" s="1167"/>
      <c r="Y169" s="1167"/>
      <c r="Z169" s="1167"/>
      <c r="AA169" s="1639"/>
      <c r="AB169" s="573"/>
      <c r="AC169" s="573"/>
      <c r="AD169" s="573"/>
      <c r="AE169" s="573"/>
      <c r="AF169" s="1648">
        <v>11</v>
      </c>
    </row>
    <row s="1648" customFormat="1" customHeight="1" ht="11.549999999999999">
      <c r="A170" s="994"/>
      <c r="B170" s="1643"/>
      <c r="C170" s="1643"/>
      <c r="D170" s="358"/>
      <c r="K170" s="1167"/>
      <c r="L170" s="1643"/>
      <c r="M170" s="1643"/>
      <c r="N170" s="1167"/>
      <c r="O170" s="1167"/>
      <c r="P170" s="1167"/>
      <c r="Q170" s="1167"/>
      <c r="R170" s="1643"/>
      <c r="S170" s="1167"/>
      <c r="T170" s="1167"/>
      <c r="U170" s="551"/>
      <c r="V170" s="1167"/>
      <c r="W170" s="1167"/>
      <c r="X170" s="1167"/>
      <c r="Y170" s="1167"/>
      <c r="Z170" s="1167"/>
      <c r="AA170" s="1639"/>
      <c r="AB170" s="573"/>
      <c r="AC170" s="573"/>
      <c r="AD170" s="573"/>
      <c r="AE170" s="573"/>
      <c r="AF170" s="1648">
        <v>11</v>
      </c>
    </row>
    <row s="1648" customFormat="1" customHeight="1" ht="11.549999999999999">
      <c r="A171" s="994"/>
      <c r="B171" s="1643"/>
      <c r="C171" s="1643"/>
      <c r="D171" s="358"/>
      <c r="K171" s="1167"/>
      <c r="L171" s="1643"/>
      <c r="M171" s="1643"/>
      <c r="N171" s="1167"/>
      <c r="O171" s="1167"/>
      <c r="P171" s="1167"/>
      <c r="Q171" s="1167"/>
      <c r="R171" s="1643"/>
      <c r="S171" s="1167"/>
      <c r="T171" s="1167"/>
      <c r="U171" s="551"/>
      <c r="V171" s="1167"/>
      <c r="W171" s="1167"/>
      <c r="X171" s="1167"/>
      <c r="Y171" s="1167"/>
      <c r="Z171" s="1167"/>
      <c r="AA171" s="1639"/>
      <c r="AB171" s="573"/>
      <c r="AC171" s="573"/>
      <c r="AD171" s="573"/>
      <c r="AE171" s="573"/>
      <c r="AF171" s="1648">
        <v>11</v>
      </c>
    </row>
    <row s="1648" customFormat="1" customHeight="1" ht="11.549999999999999">
      <c r="A172" s="994"/>
      <c r="B172" s="1643"/>
      <c r="C172" s="1643"/>
      <c r="D172" s="358"/>
      <c r="K172" s="1167"/>
      <c r="L172" s="1643"/>
      <c r="M172" s="1643"/>
      <c r="N172" s="1167"/>
      <c r="O172" s="1167"/>
      <c r="P172" s="1167"/>
      <c r="Q172" s="1167"/>
      <c r="R172" s="1643"/>
      <c r="S172" s="1167"/>
      <c r="T172" s="1167"/>
      <c r="U172" s="551"/>
      <c r="V172" s="1167"/>
      <c r="W172" s="1167"/>
      <c r="X172" s="1167"/>
      <c r="Y172" s="1167"/>
      <c r="Z172" s="1167"/>
      <c r="AA172" s="1639"/>
      <c r="AB172" s="573"/>
      <c r="AC172" s="573"/>
      <c r="AD172" s="573"/>
      <c r="AE172" s="573"/>
      <c r="AF172" s="1648">
        <v>11</v>
      </c>
    </row>
    <row s="1648" customFormat="1" customHeight="1" ht="11.549999999999999">
      <c r="A173" s="994"/>
      <c r="B173" s="1643"/>
      <c r="C173" s="1643"/>
      <c r="D173" s="358"/>
      <c r="K173" s="1167"/>
      <c r="L173" s="1643"/>
      <c r="M173" s="1643"/>
      <c r="N173" s="1167"/>
      <c r="O173" s="1167"/>
      <c r="P173" s="1167"/>
      <c r="Q173" s="1167"/>
      <c r="R173" s="1643"/>
      <c r="S173" s="1167"/>
      <c r="T173" s="1167"/>
      <c r="U173" s="551"/>
      <c r="V173" s="1167"/>
      <c r="W173" s="1167"/>
      <c r="X173" s="1167"/>
      <c r="Y173" s="1167"/>
      <c r="Z173" s="1167"/>
      <c r="AA173" s="1639"/>
      <c r="AB173" s="573"/>
      <c r="AC173" s="573"/>
      <c r="AD173" s="573"/>
      <c r="AE173" s="573"/>
      <c r="AF173" s="1648">
        <v>11</v>
      </c>
    </row>
    <row s="1648" customFormat="1" customHeight="1" ht="11.549999999999999">
      <c r="A174" s="994"/>
      <c r="B174" s="1643"/>
      <c r="C174" s="1643"/>
      <c r="D174" s="358"/>
      <c r="K174" s="1167"/>
      <c r="L174" s="1643"/>
      <c r="M174" s="1643"/>
      <c r="N174" s="1167"/>
      <c r="O174" s="1167"/>
      <c r="P174" s="1167"/>
      <c r="Q174" s="1167"/>
      <c r="R174" s="1643"/>
      <c r="S174" s="1167"/>
      <c r="T174" s="1167"/>
      <c r="U174" s="551"/>
      <c r="V174" s="1167"/>
      <c r="W174" s="1167"/>
      <c r="X174" s="1167"/>
      <c r="Y174" s="1167"/>
      <c r="Z174" s="1167"/>
      <c r="AA174" s="1639"/>
      <c r="AB174" s="573"/>
      <c r="AC174" s="573"/>
      <c r="AD174" s="573"/>
      <c r="AE174" s="573"/>
      <c r="AF174" s="1648">
        <v>11</v>
      </c>
    </row>
    <row s="1648" customFormat="1" customHeight="1" ht="11.549999999999999">
      <c r="A175" s="994"/>
      <c r="B175" s="1643"/>
      <c r="C175" s="1643"/>
      <c r="D175" s="358"/>
      <c r="K175" s="1167"/>
      <c r="L175" s="1643"/>
      <c r="M175" s="1643"/>
      <c r="N175" s="1167"/>
      <c r="O175" s="1167"/>
      <c r="P175" s="1167"/>
      <c r="Q175" s="1167"/>
      <c r="R175" s="1643"/>
      <c r="S175" s="1167"/>
      <c r="T175" s="1167"/>
      <c r="U175" s="551"/>
      <c r="V175" s="1167"/>
      <c r="W175" s="1167"/>
      <c r="X175" s="1167"/>
      <c r="Y175" s="1167"/>
      <c r="Z175" s="1167"/>
      <c r="AA175" s="1639"/>
      <c r="AB175" s="573"/>
      <c r="AC175" s="573"/>
      <c r="AD175" s="573"/>
      <c r="AE175" s="573"/>
      <c r="AF175" s="1648">
        <v>11</v>
      </c>
    </row>
    <row s="1648" customFormat="1" customHeight="1" ht="11.549999999999999">
      <c r="A176" s="994"/>
      <c r="B176" s="1643"/>
      <c r="C176" s="1643"/>
      <c r="D176" s="358"/>
      <c r="K176" s="1167"/>
      <c r="L176" s="1643"/>
      <c r="M176" s="1643"/>
      <c r="N176" s="1167"/>
      <c r="O176" s="1167"/>
      <c r="P176" s="1167"/>
      <c r="Q176" s="1167"/>
      <c r="R176" s="1643"/>
      <c r="S176" s="1167"/>
      <c r="T176" s="1167"/>
      <c r="U176" s="551"/>
      <c r="V176" s="1167"/>
      <c r="W176" s="1167"/>
      <c r="X176" s="1167"/>
      <c r="Y176" s="1167"/>
      <c r="Z176" s="1167"/>
      <c r="AA176" s="1639"/>
      <c r="AB176" s="573"/>
      <c r="AC176" s="573"/>
      <c r="AD176" s="573"/>
      <c r="AE176" s="573"/>
      <c r="AF176" s="1648">
        <v>11</v>
      </c>
    </row>
    <row s="1648" customFormat="1" customHeight="1" ht="11.549999999999999">
      <c r="A177" s="994"/>
      <c r="B177" s="1643"/>
      <c r="C177" s="1643"/>
      <c r="D177" s="358"/>
      <c r="K177" s="1167"/>
      <c r="L177" s="1643"/>
      <c r="M177" s="1643"/>
      <c r="N177" s="1167"/>
      <c r="O177" s="1167"/>
      <c r="P177" s="1167"/>
      <c r="Q177" s="1167"/>
      <c r="R177" s="1643"/>
      <c r="S177" s="1167"/>
      <c r="T177" s="1167"/>
      <c r="U177" s="551"/>
      <c r="V177" s="1167"/>
      <c r="W177" s="1167"/>
      <c r="X177" s="1167"/>
      <c r="Y177" s="1167"/>
      <c r="Z177" s="1167"/>
      <c r="AA177" s="1639"/>
      <c r="AB177" s="573"/>
      <c r="AC177" s="573"/>
      <c r="AD177" s="573"/>
      <c r="AE177" s="573"/>
      <c r="AF177" s="1648">
        <v>11</v>
      </c>
    </row>
    <row s="1648" customFormat="1" customHeight="1" ht="11.549999999999999">
      <c r="A178" s="994"/>
      <c r="B178" s="1643"/>
      <c r="C178" s="1643"/>
      <c r="D178" s="358"/>
      <c r="K178" s="1167"/>
      <c r="L178" s="1643"/>
      <c r="M178" s="1643"/>
      <c r="N178" s="1167"/>
      <c r="O178" s="1167"/>
      <c r="P178" s="1167"/>
      <c r="Q178" s="1167"/>
      <c r="R178" s="1643"/>
      <c r="S178" s="1167"/>
      <c r="T178" s="1167"/>
      <c r="U178" s="551"/>
      <c r="V178" s="1167"/>
      <c r="W178" s="1167"/>
      <c r="X178" s="1167"/>
      <c r="Y178" s="1167"/>
      <c r="Z178" s="1167"/>
      <c r="AA178" s="1639"/>
      <c r="AB178" s="573"/>
      <c r="AC178" s="573"/>
      <c r="AD178" s="573"/>
      <c r="AE178" s="573"/>
      <c r="AF178" s="1648">
        <v>11</v>
      </c>
    </row>
    <row s="1648" customFormat="1" customHeight="1" ht="11.549999999999999">
      <c r="A179" s="994"/>
      <c r="B179" s="1643"/>
      <c r="C179" s="1643"/>
      <c r="D179" s="358"/>
      <c r="K179" s="1167"/>
      <c r="L179" s="1643"/>
      <c r="M179" s="1643"/>
      <c r="N179" s="1167"/>
      <c r="O179" s="1167"/>
      <c r="P179" s="1167"/>
      <c r="Q179" s="1167"/>
      <c r="R179" s="1643"/>
      <c r="S179" s="1167"/>
      <c r="T179" s="1167"/>
      <c r="U179" s="551"/>
      <c r="V179" s="1167"/>
      <c r="W179" s="1167"/>
      <c r="X179" s="1167"/>
      <c r="Y179" s="1167"/>
      <c r="Z179" s="1167"/>
      <c r="AA179" s="1639"/>
      <c r="AB179" s="573"/>
      <c r="AC179" s="573"/>
      <c r="AD179" s="573"/>
      <c r="AE179" s="573"/>
      <c r="AF179" s="1648">
        <v>11</v>
      </c>
    </row>
    <row s="1648" customFormat="1" customHeight="1" ht="11.549999999999999">
      <c r="A180" s="994"/>
      <c r="B180" s="1643"/>
      <c r="C180" s="1643"/>
      <c r="D180" s="358"/>
      <c r="K180" s="1167"/>
      <c r="L180" s="1643"/>
      <c r="M180" s="1643"/>
      <c r="N180" s="1167"/>
      <c r="O180" s="1167"/>
      <c r="P180" s="1167"/>
      <c r="Q180" s="1167"/>
      <c r="R180" s="1643"/>
      <c r="S180" s="1167"/>
      <c r="T180" s="1167"/>
      <c r="U180" s="551"/>
      <c r="V180" s="1167"/>
      <c r="W180" s="1167"/>
      <c r="X180" s="1167"/>
      <c r="Y180" s="1167"/>
      <c r="Z180" s="1167"/>
      <c r="AA180" s="1639"/>
      <c r="AB180" s="573"/>
      <c r="AC180" s="573"/>
      <c r="AD180" s="573"/>
      <c r="AE180" s="573"/>
      <c r="AF180" s="1648">
        <v>11</v>
      </c>
    </row>
    <row s="1648" customFormat="1" customHeight="1" ht="11.549999999999999">
      <c r="A181" s="994"/>
      <c r="B181" s="1643"/>
      <c r="C181" s="1643"/>
      <c r="D181" s="358"/>
      <c r="K181" s="1167"/>
      <c r="L181" s="1643"/>
      <c r="M181" s="1643"/>
      <c r="N181" s="1167"/>
      <c r="O181" s="1167"/>
      <c r="P181" s="1167"/>
      <c r="Q181" s="1167"/>
      <c r="R181" s="1643"/>
      <c r="S181" s="1167"/>
      <c r="T181" s="1167"/>
      <c r="U181" s="551"/>
      <c r="V181" s="1167"/>
      <c r="W181" s="1167"/>
      <c r="X181" s="1167"/>
      <c r="Y181" s="1167"/>
      <c r="Z181" s="1167"/>
      <c r="AA181" s="1639"/>
      <c r="AB181" s="573"/>
      <c r="AC181" s="573"/>
      <c r="AD181" s="573"/>
      <c r="AE181" s="573"/>
      <c r="AF181" s="1648">
        <v>11</v>
      </c>
    </row>
    <row s="1648" customFormat="1" customHeight="1" ht="11.549999999999999">
      <c r="A182" s="994"/>
      <c r="B182" s="1643"/>
      <c r="C182" s="1643"/>
      <c r="D182" s="358"/>
      <c r="K182" s="1167"/>
      <c r="L182" s="1643"/>
      <c r="M182" s="1643"/>
      <c r="N182" s="1167"/>
      <c r="O182" s="1167"/>
      <c r="P182" s="1167"/>
      <c r="Q182" s="1167"/>
      <c r="R182" s="1643"/>
      <c r="S182" s="1167"/>
      <c r="T182" s="1167"/>
      <c r="U182" s="551"/>
      <c r="V182" s="1167"/>
      <c r="W182" s="1167"/>
      <c r="X182" s="1167"/>
      <c r="Y182" s="1167"/>
      <c r="Z182" s="1167"/>
      <c r="AA182" s="1639"/>
      <c r="AB182" s="573"/>
      <c r="AC182" s="573"/>
      <c r="AD182" s="573"/>
      <c r="AE182" s="573"/>
      <c r="AF182" s="1648">
        <v>11</v>
      </c>
    </row>
    <row s="1648" customFormat="1" customHeight="1" ht="11.549999999999999">
      <c r="A183" s="994"/>
      <c r="B183" s="1643"/>
      <c r="C183" s="1643"/>
      <c r="D183" s="358"/>
      <c r="K183" s="1167"/>
      <c r="L183" s="1643"/>
      <c r="M183" s="1643"/>
      <c r="N183" s="1167"/>
      <c r="O183" s="1167"/>
      <c r="P183" s="1167"/>
      <c r="Q183" s="1167"/>
      <c r="R183" s="1643"/>
      <c r="S183" s="1167"/>
      <c r="T183" s="1167"/>
      <c r="U183" s="551"/>
      <c r="V183" s="1167"/>
      <c r="W183" s="1167"/>
      <c r="X183" s="1167"/>
      <c r="Y183" s="1167"/>
      <c r="Z183" s="1167"/>
      <c r="AA183" s="1639"/>
      <c r="AB183" s="573"/>
      <c r="AC183" s="573"/>
      <c r="AD183" s="573"/>
      <c r="AE183" s="573"/>
      <c r="AF183" s="1648">
        <v>11</v>
      </c>
    </row>
    <row s="1648" customFormat="1" customHeight="1" ht="11.549999999999999">
      <c r="A184" s="994"/>
      <c r="B184" s="1643"/>
      <c r="C184" s="1643"/>
      <c r="D184" s="358"/>
      <c r="K184" s="1167"/>
      <c r="L184" s="1643"/>
      <c r="M184" s="1643"/>
      <c r="N184" s="1167"/>
      <c r="O184" s="1167"/>
      <c r="P184" s="1167"/>
      <c r="Q184" s="1167"/>
      <c r="R184" s="1643"/>
      <c r="S184" s="1167"/>
      <c r="T184" s="1167"/>
      <c r="U184" s="551"/>
      <c r="V184" s="1167"/>
      <c r="W184" s="1167"/>
      <c r="X184" s="1167"/>
      <c r="Y184" s="1167"/>
      <c r="Z184" s="1167"/>
      <c r="AA184" s="1639"/>
      <c r="AB184" s="573"/>
      <c r="AC184" s="573"/>
      <c r="AD184" s="573"/>
      <c r="AE184" s="573"/>
      <c r="AF184" s="1648">
        <v>11</v>
      </c>
    </row>
    <row s="1648" customFormat="1" customHeight="1" ht="11.549999999999999">
      <c r="A185" s="994"/>
      <c r="B185" s="1643"/>
      <c r="C185" s="1643"/>
      <c r="D185" s="358"/>
      <c r="K185" s="1167"/>
      <c r="L185" s="1643"/>
      <c r="M185" s="1643"/>
      <c r="N185" s="1167"/>
      <c r="O185" s="1167"/>
      <c r="P185" s="1167"/>
      <c r="Q185" s="1167"/>
      <c r="R185" s="1643"/>
      <c r="S185" s="1167"/>
      <c r="T185" s="1167"/>
      <c r="U185" s="551"/>
      <c r="V185" s="1167"/>
      <c r="W185" s="1167"/>
      <c r="X185" s="1167"/>
      <c r="Y185" s="1167"/>
      <c r="Z185" s="1167"/>
      <c r="AA185" s="1639"/>
      <c r="AB185" s="573"/>
      <c r="AC185" s="573"/>
      <c r="AD185" s="573"/>
      <c r="AE185" s="573"/>
      <c r="AF185" s="1648">
        <v>11</v>
      </c>
    </row>
    <row s="1648" customFormat="1" customHeight="1" ht="11.549999999999999">
      <c r="A186" s="994"/>
      <c r="B186" s="1643"/>
      <c r="C186" s="1643"/>
      <c r="D186" s="358"/>
      <c r="K186" s="1167"/>
      <c r="L186" s="1643"/>
      <c r="M186" s="1643"/>
      <c r="N186" s="1167"/>
      <c r="O186" s="1167"/>
      <c r="P186" s="1167"/>
      <c r="Q186" s="1167"/>
      <c r="R186" s="1643"/>
      <c r="S186" s="1167"/>
      <c r="T186" s="1167"/>
      <c r="U186" s="551"/>
      <c r="V186" s="1167"/>
      <c r="W186" s="1167"/>
      <c r="X186" s="1167"/>
      <c r="Y186" s="1167"/>
      <c r="Z186" s="1167"/>
      <c r="AA186" s="1639"/>
      <c r="AB186" s="573"/>
      <c r="AC186" s="573"/>
      <c r="AD186" s="573"/>
      <c r="AE186" s="573"/>
      <c r="AF186" s="1648">
        <v>11</v>
      </c>
    </row>
    <row s="1648" customFormat="1" customHeight="1" ht="11.549999999999999">
      <c r="A187" s="994"/>
      <c r="B187" s="1643"/>
      <c r="C187" s="1643"/>
      <c r="D187" s="358"/>
      <c r="K187" s="1167"/>
      <c r="L187" s="1643"/>
      <c r="M187" s="1643"/>
      <c r="N187" s="1167"/>
      <c r="O187" s="1167"/>
      <c r="P187" s="1167"/>
      <c r="Q187" s="1167"/>
      <c r="R187" s="1643"/>
      <c r="S187" s="1167"/>
      <c r="T187" s="1167"/>
      <c r="U187" s="551"/>
      <c r="V187" s="1167"/>
      <c r="W187" s="1167"/>
      <c r="X187" s="1167"/>
      <c r="Y187" s="1167"/>
      <c r="Z187" s="1167"/>
      <c r="AA187" s="1639"/>
      <c r="AB187" s="573"/>
      <c r="AC187" s="573"/>
      <c r="AD187" s="573"/>
      <c r="AE187" s="573"/>
      <c r="AF187" s="1648">
        <v>11</v>
      </c>
    </row>
    <row s="1648" customFormat="1" customHeight="1" ht="11.549999999999999">
      <c r="A188" s="994"/>
      <c r="B188" s="1643"/>
      <c r="C188" s="1643"/>
      <c r="D188" s="358"/>
      <c r="K188" s="1167"/>
      <c r="L188" s="1643"/>
      <c r="M188" s="1643"/>
      <c r="N188" s="1167"/>
      <c r="O188" s="1167"/>
      <c r="P188" s="1167"/>
      <c r="Q188" s="1167"/>
      <c r="R188" s="1643"/>
      <c r="S188" s="1167"/>
      <c r="T188" s="1167"/>
      <c r="U188" s="551"/>
      <c r="V188" s="1167"/>
      <c r="W188" s="1167"/>
      <c r="X188" s="1167"/>
      <c r="Y188" s="1167"/>
      <c r="Z188" s="1167"/>
      <c r="AA188" s="1639"/>
      <c r="AB188" s="573"/>
      <c r="AC188" s="573"/>
      <c r="AD188" s="573"/>
      <c r="AE188" s="573"/>
      <c r="AF188" s="1648">
        <v>11</v>
      </c>
    </row>
    <row s="1648" customFormat="1" customHeight="1" ht="11.549999999999999">
      <c r="A189" s="994"/>
      <c r="B189" s="1643"/>
      <c r="C189" s="1643"/>
      <c r="D189" s="358"/>
      <c r="K189" s="1167"/>
      <c r="L189" s="1643"/>
      <c r="M189" s="1643"/>
      <c r="N189" s="1167"/>
      <c r="O189" s="1167"/>
      <c r="P189" s="1167"/>
      <c r="Q189" s="1167"/>
      <c r="R189" s="1643"/>
      <c r="S189" s="1167"/>
      <c r="T189" s="1167"/>
      <c r="U189" s="551"/>
      <c r="V189" s="1167"/>
      <c r="W189" s="1167"/>
      <c r="X189" s="1167"/>
      <c r="Y189" s="1167"/>
      <c r="Z189" s="1167"/>
      <c r="AA189" s="1639"/>
      <c r="AB189" s="573"/>
      <c r="AC189" s="573"/>
      <c r="AD189" s="573"/>
      <c r="AE189" s="573"/>
      <c r="AF189" s="1648">
        <v>11</v>
      </c>
    </row>
    <row s="1648" customFormat="1" customHeight="1" ht="11.549999999999999">
      <c r="A190" s="994"/>
      <c r="B190" s="1643"/>
      <c r="C190" s="1643"/>
      <c r="D190" s="358"/>
      <c r="K190" s="1167"/>
      <c r="L190" s="1643"/>
      <c r="M190" s="1643"/>
      <c r="N190" s="1167"/>
      <c r="O190" s="1167"/>
      <c r="P190" s="1167"/>
      <c r="Q190" s="1167"/>
      <c r="R190" s="1643"/>
      <c r="S190" s="1167"/>
      <c r="T190" s="1167"/>
      <c r="U190" s="551"/>
      <c r="V190" s="1167"/>
      <c r="W190" s="1167"/>
      <c r="X190" s="1167"/>
      <c r="Y190" s="1167"/>
      <c r="Z190" s="1167"/>
      <c r="AA190" s="1639"/>
      <c r="AB190" s="573"/>
      <c r="AC190" s="573"/>
      <c r="AD190" s="573"/>
      <c r="AE190" s="573"/>
      <c r="AF190" s="1648">
        <v>11</v>
      </c>
    </row>
    <row s="1648" customFormat="1" customHeight="1" ht="11.549999999999999">
      <c r="A191" s="994"/>
      <c r="B191" s="1643"/>
      <c r="C191" s="1643"/>
      <c r="D191" s="358"/>
      <c r="K191" s="1167"/>
      <c r="L191" s="1643"/>
      <c r="M191" s="1643"/>
      <c r="N191" s="1167"/>
      <c r="O191" s="1167"/>
      <c r="P191" s="1167"/>
      <c r="Q191" s="1167"/>
      <c r="R191" s="1643"/>
      <c r="S191" s="1167"/>
      <c r="T191" s="1167"/>
      <c r="U191" s="551"/>
      <c r="V191" s="1167"/>
      <c r="W191" s="1167"/>
      <c r="X191" s="1167"/>
      <c r="Y191" s="1167"/>
      <c r="Z191" s="1167"/>
      <c r="AA191" s="1639"/>
      <c r="AB191" s="573"/>
      <c r="AC191" s="573"/>
      <c r="AD191" s="573"/>
      <c r="AE191" s="573"/>
      <c r="AF191" s="1648">
        <v>11</v>
      </c>
    </row>
    <row s="1648" customFormat="1" customHeight="1" ht="11.549999999999999">
      <c r="A192" s="994"/>
      <c r="B192" s="1643"/>
      <c r="C192" s="1643"/>
      <c r="D192" s="358"/>
      <c r="K192" s="1167"/>
      <c r="L192" s="1643"/>
      <c r="M192" s="1643"/>
      <c r="N192" s="1167"/>
      <c r="O192" s="1167"/>
      <c r="P192" s="1167"/>
      <c r="Q192" s="1167"/>
      <c r="R192" s="1643"/>
      <c r="S192" s="1167"/>
      <c r="T192" s="1167"/>
      <c r="U192" s="551"/>
      <c r="V192" s="1167"/>
      <c r="W192" s="1167"/>
      <c r="X192" s="1167"/>
      <c r="Y192" s="1167"/>
      <c r="Z192" s="1167"/>
      <c r="AA192" s="1639"/>
      <c r="AB192" s="573"/>
      <c r="AC192" s="573"/>
      <c r="AD192" s="573"/>
      <c r="AE192" s="573"/>
      <c r="AF192" s="1648">
        <v>11</v>
      </c>
    </row>
    <row s="1648" customFormat="1" customHeight="1" ht="11.549999999999999">
      <c r="A193" s="994"/>
      <c r="B193" s="1643"/>
      <c r="C193" s="1643"/>
      <c r="D193" s="358"/>
      <c r="K193" s="1167"/>
      <c r="L193" s="1643"/>
      <c r="M193" s="1643"/>
      <c r="N193" s="1167"/>
      <c r="O193" s="1167"/>
      <c r="P193" s="1167"/>
      <c r="Q193" s="1167"/>
      <c r="R193" s="1643"/>
      <c r="S193" s="1167"/>
      <c r="T193" s="1167"/>
      <c r="U193" s="551"/>
      <c r="V193" s="1167"/>
      <c r="W193" s="1167"/>
      <c r="X193" s="1167"/>
      <c r="Y193" s="1167"/>
      <c r="Z193" s="1167"/>
      <c r="AA193" s="1639"/>
      <c r="AB193" s="573"/>
      <c r="AC193" s="573"/>
      <c r="AD193" s="573"/>
      <c r="AE193" s="573"/>
      <c r="AF193" s="1648">
        <v>11</v>
      </c>
    </row>
    <row s="1648" customFormat="1" customHeight="1" ht="11.549999999999999">
      <c r="A194" s="994"/>
      <c r="B194" s="1643"/>
      <c r="C194" s="1643"/>
      <c r="D194" s="358"/>
      <c r="K194" s="1167"/>
      <c r="L194" s="1643"/>
      <c r="M194" s="1643"/>
      <c r="N194" s="1167"/>
      <c r="O194" s="1167"/>
      <c r="P194" s="1167"/>
      <c r="Q194" s="1167"/>
      <c r="R194" s="1643"/>
      <c r="S194" s="1167"/>
      <c r="T194" s="1167"/>
      <c r="U194" s="551"/>
      <c r="V194" s="1167"/>
      <c r="W194" s="1167"/>
      <c r="X194" s="1167"/>
      <c r="Y194" s="1167"/>
      <c r="Z194" s="1167"/>
      <c r="AA194" s="1639"/>
      <c r="AB194" s="573"/>
      <c r="AC194" s="573"/>
      <c r="AD194" s="573"/>
      <c r="AE194" s="573"/>
      <c r="AF194" s="1648">
        <v>11</v>
      </c>
    </row>
    <row s="1648" customFormat="1" customHeight="1" ht="11.549999999999999">
      <c r="A195" s="994"/>
      <c r="B195" s="1643"/>
      <c r="C195" s="1643"/>
      <c r="D195" s="358"/>
      <c r="K195" s="1167"/>
      <c r="L195" s="1643"/>
      <c r="M195" s="1643"/>
      <c r="N195" s="1167"/>
      <c r="O195" s="1167"/>
      <c r="P195" s="1167"/>
      <c r="Q195" s="1167"/>
      <c r="R195" s="1643"/>
      <c r="S195" s="1167"/>
      <c r="T195" s="1167"/>
      <c r="U195" s="551"/>
      <c r="V195" s="1167"/>
      <c r="W195" s="1167"/>
      <c r="X195" s="1167"/>
      <c r="Y195" s="1167"/>
      <c r="Z195" s="1167"/>
      <c r="AA195" s="1639"/>
      <c r="AB195" s="573"/>
      <c r="AC195" s="573"/>
      <c r="AD195" s="573"/>
      <c r="AE195" s="573"/>
      <c r="AF195" s="1648">
        <v>11</v>
      </c>
    </row>
    <row s="1648" customFormat="1" customHeight="1" ht="11.549999999999999">
      <c r="A196" s="994"/>
      <c r="B196" s="1643"/>
      <c r="C196" s="1643"/>
      <c r="D196" s="358"/>
      <c r="K196" s="1167"/>
      <c r="L196" s="1643"/>
      <c r="M196" s="1643"/>
      <c r="N196" s="1167"/>
      <c r="O196" s="1167"/>
      <c r="P196" s="1167"/>
      <c r="Q196" s="1167"/>
      <c r="R196" s="1643"/>
      <c r="S196" s="1167"/>
      <c r="T196" s="1167"/>
      <c r="U196" s="551"/>
      <c r="V196" s="1167"/>
      <c r="W196" s="1167"/>
      <c r="X196" s="1167"/>
      <c r="Y196" s="1167"/>
      <c r="Z196" s="1167"/>
      <c r="AA196" s="1639"/>
      <c r="AB196" s="573"/>
      <c r="AC196" s="573"/>
      <c r="AD196" s="573"/>
      <c r="AE196" s="573"/>
      <c r="AF196" s="1648">
        <v>11</v>
      </c>
    </row>
    <row s="1648" customFormat="1" customHeight="1" ht="11.549999999999999">
      <c r="A197" s="994"/>
      <c r="B197" s="1643"/>
      <c r="C197" s="1643"/>
      <c r="D197" s="358"/>
      <c r="K197" s="1167"/>
      <c r="L197" s="1643"/>
      <c r="M197" s="1643"/>
      <c r="N197" s="1167"/>
      <c r="O197" s="1167"/>
      <c r="P197" s="1167"/>
      <c r="Q197" s="1167"/>
      <c r="R197" s="1643"/>
      <c r="S197" s="1167"/>
      <c r="T197" s="1167"/>
      <c r="U197" s="551"/>
      <c r="V197" s="1167"/>
      <c r="W197" s="1167"/>
      <c r="X197" s="1167"/>
      <c r="Y197" s="1167"/>
      <c r="Z197" s="1167"/>
      <c r="AA197" s="1639"/>
      <c r="AB197" s="573"/>
      <c r="AC197" s="573"/>
      <c r="AD197" s="573"/>
      <c r="AE197" s="573"/>
      <c r="AF197" s="1648">
        <v>11</v>
      </c>
    </row>
    <row s="1648" customFormat="1" customHeight="1" ht="11.549999999999999">
      <c r="A198" s="994"/>
      <c r="B198" s="1643"/>
      <c r="C198" s="1643"/>
      <c r="D198" s="358"/>
      <c r="K198" s="1167"/>
      <c r="L198" s="1643"/>
      <c r="M198" s="1643"/>
      <c r="N198" s="1167"/>
      <c r="O198" s="1167"/>
      <c r="P198" s="1167"/>
      <c r="Q198" s="1167"/>
      <c r="R198" s="1643"/>
      <c r="S198" s="1167"/>
      <c r="T198" s="1167"/>
      <c r="U198" s="551"/>
      <c r="V198" s="1167"/>
      <c r="W198" s="1167"/>
      <c r="X198" s="1167"/>
      <c r="Y198" s="1167"/>
      <c r="Z198" s="1167"/>
      <c r="AA198" s="1639"/>
      <c r="AB198" s="573"/>
      <c r="AC198" s="573"/>
      <c r="AD198" s="573"/>
      <c r="AE198" s="573"/>
      <c r="AF198" s="1648">
        <v>11</v>
      </c>
    </row>
    <row s="1648" customFormat="1" customHeight="1" ht="11.549999999999999">
      <c r="A199" s="994"/>
      <c r="B199" s="1643"/>
      <c r="C199" s="1643"/>
      <c r="D199" s="358"/>
      <c r="K199" s="1167"/>
      <c r="L199" s="1643"/>
      <c r="M199" s="1643"/>
      <c r="N199" s="1167"/>
      <c r="O199" s="1167"/>
      <c r="P199" s="1167"/>
      <c r="Q199" s="1167"/>
      <c r="R199" s="1643"/>
      <c r="S199" s="1167"/>
      <c r="T199" s="1167"/>
      <c r="U199" s="551"/>
      <c r="V199" s="1167"/>
      <c r="W199" s="1167"/>
      <c r="X199" s="1167"/>
      <c r="Y199" s="1167"/>
      <c r="Z199" s="1167"/>
      <c r="AA199" s="1639"/>
      <c r="AB199" s="573"/>
      <c r="AC199" s="573"/>
      <c r="AD199" s="573"/>
      <c r="AE199" s="573"/>
      <c r="AF199" s="1648">
        <v>11</v>
      </c>
    </row>
    <row s="1648" customFormat="1" customHeight="1" ht="11.549999999999999">
      <c r="A200" s="994"/>
      <c r="B200" s="1643"/>
      <c r="C200" s="1643"/>
      <c r="D200" s="358"/>
      <c r="K200" s="1167"/>
      <c r="L200" s="1643"/>
      <c r="M200" s="1643"/>
      <c r="N200" s="1167"/>
      <c r="O200" s="1167"/>
      <c r="P200" s="1167"/>
      <c r="Q200" s="1167"/>
      <c r="R200" s="1643"/>
      <c r="S200" s="1167"/>
      <c r="T200" s="1167"/>
      <c r="U200" s="551"/>
      <c r="V200" s="1167"/>
      <c r="W200" s="1167"/>
      <c r="X200" s="1167"/>
      <c r="Y200" s="1167"/>
      <c r="Z200" s="1167"/>
      <c r="AA200" s="1639"/>
      <c r="AB200" s="573"/>
      <c r="AC200" s="573"/>
      <c r="AD200" s="573"/>
      <c r="AE200" s="573"/>
      <c r="AF200" s="1648">
        <v>11</v>
      </c>
    </row>
    <row s="1648" customFormat="1" customHeight="1" ht="11.549999999999999">
      <c r="A201" s="994"/>
      <c r="B201" s="1643"/>
      <c r="C201" s="1643"/>
      <c r="D201" s="358"/>
      <c r="K201" s="1167"/>
      <c r="L201" s="1643"/>
      <c r="M201" s="1643"/>
      <c r="N201" s="1167"/>
      <c r="O201" s="1167"/>
      <c r="P201" s="1167"/>
      <c r="Q201" s="1167"/>
      <c r="R201" s="1643"/>
      <c r="S201" s="1167"/>
      <c r="T201" s="1167"/>
      <c r="U201" s="551"/>
      <c r="V201" s="1167"/>
      <c r="W201" s="1167"/>
      <c r="X201" s="1167"/>
      <c r="Y201" s="1167"/>
      <c r="Z201" s="1167"/>
      <c r="AA201" s="1639"/>
      <c r="AB201" s="573"/>
      <c r="AC201" s="573"/>
      <c r="AD201" s="573"/>
      <c r="AE201" s="573"/>
      <c r="AF201" s="1648">
        <v>11</v>
      </c>
    </row>
    <row s="1648" customFormat="1" customHeight="1" ht="11.549999999999999">
      <c r="A202" s="994"/>
      <c r="B202" s="1643"/>
      <c r="C202" s="1643"/>
      <c r="D202" s="358"/>
      <c r="K202" s="1167"/>
      <c r="L202" s="1643"/>
      <c r="M202" s="1643"/>
      <c r="N202" s="1167"/>
      <c r="O202" s="1167"/>
      <c r="P202" s="1167"/>
      <c r="Q202" s="1167"/>
      <c r="R202" s="1643"/>
      <c r="S202" s="1167"/>
      <c r="T202" s="1167"/>
      <c r="U202" s="551"/>
      <c r="V202" s="1167"/>
      <c r="W202" s="1167"/>
      <c r="X202" s="1167"/>
      <c r="Y202" s="1167"/>
      <c r="Z202" s="1167"/>
      <c r="AA202" s="1639"/>
      <c r="AB202" s="573"/>
      <c r="AC202" s="573"/>
      <c r="AD202" s="573"/>
      <c r="AE202" s="573"/>
      <c r="AF202" s="1648">
        <v>11</v>
      </c>
    </row>
    <row customHeight="1" ht="11.549999999999999">
      <c r="AF203" s="1638">
        <v>11</v>
      </c>
    </row>
    <row customHeight="1" ht="11.549999999999999">
      <c r="AF204" s="1638">
        <v>11</v>
      </c>
    </row>
    <row customHeight="1" ht="11.549999999999999">
      <c r="AF205" s="1638">
        <v>11</v>
      </c>
    </row>
    <row customHeight="1" ht="11.549999999999999">
      <c r="A206" s="997"/>
      <c r="B206" s="1638"/>
      <c r="D206" s="1638"/>
      <c r="K206" s="1638"/>
      <c r="N206" s="1638"/>
      <c r="O206" s="1638"/>
      <c r="P206" s="1638"/>
      <c r="Q206" s="1638"/>
      <c r="S206" s="1638"/>
      <c r="T206" s="1638"/>
      <c r="U206" s="1638"/>
      <c r="V206" s="1638"/>
      <c r="W206" s="1638"/>
      <c r="X206" s="1638"/>
      <c r="Y206" s="1638"/>
      <c r="Z206" s="1638"/>
      <c r="AA206" s="1638"/>
      <c r="AB206" s="1638"/>
      <c r="AC206" s="1638"/>
      <c r="AD206" s="1638"/>
      <c r="AE206" s="1638"/>
      <c r="AF206" s="1638">
        <v>11</v>
      </c>
    </row>
    <row customHeight="1" ht="11.549999999999999">
      <c r="A207" s="997"/>
      <c r="B207" s="1638"/>
      <c r="D207" s="1638"/>
      <c r="K207" s="1638"/>
      <c r="N207" s="1638"/>
      <c r="O207" s="1638"/>
      <c r="P207" s="1638"/>
      <c r="Q207" s="1638"/>
      <c r="S207" s="1638"/>
      <c r="T207" s="1638"/>
      <c r="U207" s="1638"/>
      <c r="V207" s="1638"/>
      <c r="W207" s="1638"/>
      <c r="X207" s="1638"/>
      <c r="Y207" s="1638"/>
      <c r="Z207" s="1638"/>
      <c r="AA207" s="1638"/>
      <c r="AB207" s="1638"/>
      <c r="AC207" s="1638"/>
      <c r="AD207" s="1638"/>
      <c r="AE207" s="1638"/>
      <c r="AF207" s="1638">
        <v>11</v>
      </c>
    </row>
    <row customHeight="1" ht="11.549999999999999">
      <c r="A208" s="997"/>
      <c r="B208" s="1638"/>
      <c r="D208" s="1638"/>
      <c r="K208" s="1638"/>
      <c r="N208" s="1638"/>
      <c r="O208" s="1638"/>
      <c r="P208" s="1638"/>
      <c r="Q208" s="1638"/>
      <c r="S208" s="1638"/>
      <c r="T208" s="1638"/>
      <c r="U208" s="1638"/>
      <c r="V208" s="1638"/>
      <c r="W208" s="1638"/>
      <c r="X208" s="1638"/>
      <c r="Y208" s="1638"/>
      <c r="Z208" s="1638"/>
      <c r="AA208" s="1638"/>
      <c r="AB208" s="1638"/>
      <c r="AC208" s="1638"/>
      <c r="AD208" s="1638"/>
      <c r="AE208" s="1638"/>
      <c r="AF208" s="1638">
        <v>11</v>
      </c>
    </row>
    <row customHeight="1" ht="11.549999999999999">
      <c r="A209" s="997"/>
      <c r="B209" s="1638"/>
      <c r="D209" s="1638"/>
      <c r="K209" s="1638"/>
      <c r="N209" s="1638"/>
      <c r="O209" s="1638"/>
      <c r="P209" s="1638"/>
      <c r="Q209" s="1638"/>
      <c r="S209" s="1638"/>
      <c r="T209" s="1638"/>
      <c r="U209" s="1638"/>
      <c r="V209" s="1638"/>
      <c r="W209" s="1638"/>
      <c r="X209" s="1638"/>
      <c r="Y209" s="1638"/>
      <c r="Z209" s="1638"/>
      <c r="AA209" s="1638"/>
      <c r="AB209" s="1638"/>
      <c r="AC209" s="1638"/>
      <c r="AD209" s="1638"/>
      <c r="AE209" s="1638"/>
      <c r="AF209" s="1638">
        <v>11</v>
      </c>
    </row>
    <row customHeight="1" ht="11.549999999999999">
      <c r="A210" s="997"/>
      <c r="B210" s="1638"/>
      <c r="D210" s="1638"/>
      <c r="K210" s="1638"/>
      <c r="N210" s="1638"/>
      <c r="O210" s="1638"/>
      <c r="P210" s="1638"/>
      <c r="Q210" s="1638"/>
      <c r="S210" s="1638"/>
      <c r="T210" s="1638"/>
      <c r="U210" s="1638"/>
      <c r="V210" s="1638"/>
      <c r="W210" s="1638"/>
      <c r="X210" s="1638"/>
      <c r="Y210" s="1638"/>
      <c r="Z210" s="1638"/>
      <c r="AA210" s="1638"/>
      <c r="AB210" s="1638"/>
      <c r="AC210" s="1638"/>
      <c r="AD210" s="1638"/>
      <c r="AE210" s="1638"/>
      <c r="AF210" s="1638">
        <v>11</v>
      </c>
    </row>
    <row customHeight="1" ht="11.549999999999999">
      <c r="A211" s="997"/>
      <c r="B211" s="1638"/>
      <c r="D211" s="1638"/>
      <c r="K211" s="1638"/>
      <c r="N211" s="1638"/>
      <c r="O211" s="1638"/>
      <c r="P211" s="1638"/>
      <c r="Q211" s="1638"/>
      <c r="S211" s="1638"/>
      <c r="T211" s="1638"/>
      <c r="U211" s="1638"/>
      <c r="V211" s="1638"/>
      <c r="W211" s="1638"/>
      <c r="X211" s="1638"/>
      <c r="Y211" s="1638"/>
      <c r="Z211" s="1638"/>
      <c r="AA211" s="1638"/>
      <c r="AB211" s="1638"/>
      <c r="AC211" s="1638"/>
      <c r="AD211" s="1638"/>
      <c r="AE211" s="1638"/>
      <c r="AF211" s="1638">
        <v>11</v>
      </c>
    </row>
    <row customHeight="1" ht="11.549999999999999">
      <c r="A212" s="997"/>
      <c r="B212" s="1638"/>
      <c r="D212" s="1638"/>
      <c r="K212" s="1638"/>
      <c r="N212" s="1638"/>
      <c r="O212" s="1638"/>
      <c r="P212" s="1638"/>
      <c r="Q212" s="1638"/>
      <c r="S212" s="1638"/>
      <c r="T212" s="1638"/>
      <c r="U212" s="1638"/>
      <c r="V212" s="1638"/>
      <c r="W212" s="1638"/>
      <c r="X212" s="1638"/>
      <c r="Y212" s="1638"/>
      <c r="Z212" s="1638"/>
      <c r="AA212" s="1638"/>
      <c r="AB212" s="1638"/>
      <c r="AC212" s="1638"/>
      <c r="AD212" s="1638"/>
      <c r="AE212" s="1638"/>
      <c r="AF212" s="1638">
        <v>11</v>
      </c>
    </row>
    <row customHeight="1" ht="11.549999999999999">
      <c r="A213" s="997"/>
      <c r="B213" s="1638"/>
      <c r="D213" s="1638"/>
      <c r="K213" s="1638"/>
      <c r="N213" s="1638"/>
      <c r="O213" s="1638"/>
      <c r="P213" s="1638"/>
      <c r="Q213" s="1638"/>
      <c r="S213" s="1638"/>
      <c r="T213" s="1638"/>
      <c r="U213" s="1638"/>
      <c r="V213" s="1638"/>
      <c r="W213" s="1638"/>
      <c r="X213" s="1638"/>
      <c r="Y213" s="1638"/>
      <c r="Z213" s="1638"/>
      <c r="AA213" s="1638"/>
      <c r="AB213" s="1638"/>
      <c r="AC213" s="1638"/>
      <c r="AD213" s="1638"/>
      <c r="AE213" s="1638"/>
      <c r="AF213" s="1638">
        <v>11</v>
      </c>
    </row>
    <row customHeight="1" ht="11.549999999999999">
      <c r="A214" s="997"/>
      <c r="B214" s="1638"/>
      <c r="D214" s="1638"/>
      <c r="K214" s="1638"/>
      <c r="N214" s="1638"/>
      <c r="O214" s="1638"/>
      <c r="P214" s="1638"/>
      <c r="Q214" s="1638"/>
      <c r="S214" s="1638"/>
      <c r="T214" s="1638"/>
      <c r="U214" s="1638"/>
      <c r="V214" s="1638"/>
      <c r="W214" s="1638"/>
      <c r="X214" s="1638"/>
      <c r="Y214" s="1638"/>
      <c r="Z214" s="1638"/>
      <c r="AA214" s="1638"/>
      <c r="AB214" s="1638"/>
      <c r="AC214" s="1638"/>
      <c r="AD214" s="1638"/>
      <c r="AE214" s="1638"/>
      <c r="AF214" s="1638">
        <v>11</v>
      </c>
    </row>
    <row customHeight="1" ht="11.549999999999999">
      <c r="A215" s="997"/>
      <c r="B215" s="1638"/>
      <c r="D215" s="1638"/>
      <c r="K215" s="1638"/>
      <c r="N215" s="1638"/>
      <c r="O215" s="1638"/>
      <c r="P215" s="1638"/>
      <c r="Q215" s="1638"/>
      <c r="S215" s="1638"/>
      <c r="T215" s="1638"/>
      <c r="U215" s="1638"/>
      <c r="V215" s="1638"/>
      <c r="W215" s="1638"/>
      <c r="X215" s="1638"/>
      <c r="Y215" s="1638"/>
      <c r="Z215" s="1638"/>
      <c r="AA215" s="1638"/>
      <c r="AB215" s="1638"/>
      <c r="AC215" s="1638"/>
      <c r="AD215" s="1638"/>
      <c r="AE215" s="1638"/>
      <c r="AF215" s="1638">
        <v>11</v>
      </c>
    </row>
    <row customHeight="1" ht="11.549999999999999">
      <c r="A216" s="997"/>
      <c r="B216" s="1638"/>
      <c r="D216" s="1638"/>
      <c r="K216" s="1638"/>
      <c r="N216" s="1638"/>
      <c r="O216" s="1638"/>
      <c r="P216" s="1638"/>
      <c r="Q216" s="1638"/>
      <c r="S216" s="1638"/>
      <c r="T216" s="1638"/>
      <c r="U216" s="1638"/>
      <c r="V216" s="1638"/>
      <c r="W216" s="1638"/>
      <c r="X216" s="1638"/>
      <c r="Y216" s="1638"/>
      <c r="Z216" s="1638"/>
      <c r="AA216" s="1638"/>
      <c r="AB216" s="1638"/>
      <c r="AC216" s="1638"/>
      <c r="AD216" s="1638"/>
      <c r="AE216" s="1638"/>
      <c r="AF216" s="1638">
        <v>11</v>
      </c>
    </row>
    <row customHeight="1" ht="11.25" hidden="1">
      <c r="A217" s="994" t="s">
        <v>82</v>
      </c>
      <c r="B217" s="1167">
        <v>0</v>
      </c>
      <c r="C217" s="1643">
        <v>0</v>
      </c>
      <c r="D217" s="1642">
        <v>3</v>
      </c>
      <c r="E217" s="1638">
        <v>7</v>
      </c>
      <c r="F217" s="1638">
        <v>56</v>
      </c>
      <c r="G217" s="1638">
        <v>10</v>
      </c>
      <c r="H217" s="1638">
        <v>0</v>
      </c>
      <c r="I217" s="1638">
        <v>40</v>
      </c>
      <c r="J217" s="1638">
        <v>102</v>
      </c>
      <c r="K217" s="1167">
        <v>9</v>
      </c>
      <c r="L217" s="1643">
        <v>5</v>
      </c>
      <c r="M217" s="1643">
        <v>3</v>
      </c>
      <c r="N217" s="1167">
        <v>3</v>
      </c>
      <c r="O217" s="1167">
        <v>3</v>
      </c>
      <c r="P217" s="1167">
        <v>3</v>
      </c>
      <c r="Q217" s="1167">
        <v>3</v>
      </c>
      <c r="R217" s="1643">
        <v>10</v>
      </c>
      <c r="S217" s="1167">
        <v>34</v>
      </c>
      <c r="T217" s="1167">
        <v>9</v>
      </c>
      <c r="U217" s="551">
        <v>8</v>
      </c>
      <c r="V217" s="1167">
        <v>8</v>
      </c>
      <c r="W217" s="1167">
        <v>8</v>
      </c>
      <c r="X217" s="1167">
        <v>8</v>
      </c>
      <c r="Y217" s="1167">
        <v>8</v>
      </c>
      <c r="Z217" s="1167">
        <v>8</v>
      </c>
      <c r="AA217" s="1639">
        <v>8</v>
      </c>
      <c r="AB217" s="1639">
        <v>8</v>
      </c>
      <c r="AC217" s="1639">
        <v>8</v>
      </c>
      <c r="AD217" s="1639">
        <v>8</v>
      </c>
      <c r="AE217" s="1639">
        <v>8</v>
      </c>
      <c r="AF217" s="1638">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5123E5-D169-6E84-010D-3A8B44D96B4D}"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94" width="10.7109375" hidden="1" customWidth="1"/>
    <col min="2" max="2" style="1373" width="16.8515625" hidden="1" customWidth="1"/>
    <col min="3" max="3" style="1649" width="5.57421875" hidden="1" customWidth="1"/>
    <col min="4" max="4" style="1642" width="3.00390625" customWidth="1"/>
    <col min="5" max="5" style="1642" width="7.00390625" customWidth="1"/>
    <col min="6" max="6" style="1642" width="54.00390625" customWidth="1"/>
    <col min="7" max="7" style="1642" width="10.00390625" customWidth="1"/>
    <col min="8" max="8" style="1642" width="40.7109375" hidden="1" customWidth="1"/>
    <col min="9" max="9" style="1642" width="40.00390625" customWidth="1"/>
    <col min="10" max="10" style="1642" width="102.00390625" customWidth="1"/>
    <col min="11" max="11" style="1373" width="9.00390625" customWidth="1"/>
    <col min="12" max="12" style="1649" width="5.00390625" customWidth="1"/>
    <col min="13" max="13" style="1649" width="3.00390625" customWidth="1"/>
    <col min="14" max="17" style="1373" width="3.00390625" customWidth="1"/>
    <col min="18" max="18" style="1649" width="10.00390625" customWidth="1"/>
    <col min="19" max="19" style="1373" width="34.00390625" customWidth="1"/>
    <col min="20" max="20" style="1373" width="9.00390625" customWidth="1"/>
    <col min="21" max="21" style="743" width="8.00390625" customWidth="1"/>
    <col min="22" max="26" style="1373" width="8.00390625" customWidth="1"/>
    <col min="27" max="31" style="1639" width="8.00390625" customWidth="1"/>
    <col min="32" max="32" style="1642" width="9.140625" hidden="1"/>
  </cols>
  <sheetData>
    <row s="1373" customFormat="1" customHeight="1" ht="22.5" hidden="1">
      <c r="A1" s="994"/>
      <c r="C1" s="1643"/>
      <c r="D1" s="544"/>
      <c r="H1" s="1167">
        <v>4</v>
      </c>
      <c r="I1" s="1167">
        <v>4</v>
      </c>
      <c r="L1" s="1643"/>
      <c r="M1" s="1643"/>
      <c r="R1" s="1643"/>
      <c r="AF1" s="1167" t="s">
        <v>14</v>
      </c>
    </row>
    <row s="1373" customFormat="1" customHeight="1" ht="22.5" hidden="1">
      <c r="A2" s="994"/>
      <c r="C2" s="1643"/>
      <c r="D2" s="545"/>
      <c r="E2" s="1665"/>
      <c r="F2" s="547"/>
      <c r="G2" s="1664" t="s">
        <v>714</v>
      </c>
      <c r="H2" s="548"/>
      <c r="I2" s="548"/>
      <c r="J2" s="549" t="s">
        <v>717</v>
      </c>
      <c r="K2" s="550"/>
      <c r="L2" s="1643"/>
      <c r="M2" s="1643"/>
      <c r="R2" s="1643"/>
      <c r="U2" s="551"/>
      <c r="AA2" s="1639"/>
      <c r="AB2" s="1639"/>
      <c r="AC2" s="1639"/>
      <c r="AD2" s="1639"/>
      <c r="AE2" s="1639"/>
      <c r="AF2" s="1167">
        <v>0</v>
      </c>
    </row>
    <row customHeight="1" ht="11.25" hidden="1">
      <c r="AF3" s="1638">
        <v>0</v>
      </c>
    </row>
    <row s="1639" customFormat="1" customHeight="1" ht="11.25" hidden="1">
      <c r="A4" s="994"/>
      <c r="B4" s="1167"/>
      <c r="C4" s="1643"/>
      <c r="D4" s="369"/>
      <c r="J4" s="1639">
        <v>4</v>
      </c>
      <c r="K4" s="1167"/>
      <c r="L4" s="1643"/>
      <c r="M4" s="1643"/>
      <c r="N4" s="1167"/>
      <c r="O4" s="1167"/>
      <c r="P4" s="1167"/>
      <c r="Q4" s="1167"/>
      <c r="R4" s="1643"/>
      <c r="S4" s="1167"/>
      <c r="T4" s="1167"/>
      <c r="U4" s="551"/>
      <c r="V4" s="1167"/>
      <c r="W4" s="1167"/>
      <c r="X4" s="1167"/>
      <c r="Y4" s="1167"/>
      <c r="Z4" s="1167"/>
      <c r="AF4" s="1639">
        <v>0</v>
      </c>
    </row>
    <row customHeight="1" ht="11.549999999999999">
      <c r="AF5" s="1638">
        <v>11</v>
      </c>
    </row>
    <row customHeight="1" ht="33.75">
      <c r="E6" s="2255" t="s">
        <v>936</v>
      </c>
      <c r="F6" s="2255"/>
      <c r="G6" s="2255"/>
      <c r="H6" s="2255"/>
      <c r="I6" s="2255"/>
      <c r="J6" s="563"/>
      <c r="AF6" s="1638">
        <v>32</v>
      </c>
    </row>
    <row customHeight="1" ht="25.2">
      <c r="E7" s="2256" t="str">
        <f>IF(org=0,"Не определено",org)</f>
        <v>ГУП "Белоблводоканал"</v>
      </c>
      <c r="F7" s="2256"/>
      <c r="G7" s="2256"/>
      <c r="H7" s="2256"/>
      <c r="I7" s="2256"/>
      <c r="AF7" s="1638">
        <v>24</v>
      </c>
    </row>
    <row customHeight="1" ht="11.549999999999999">
      <c r="E8" s="1142"/>
      <c r="F8" s="1142"/>
      <c r="G8" s="1142"/>
      <c r="H8" s="1142"/>
      <c r="I8" s="1142"/>
      <c r="AF8" s="1638">
        <v>11</v>
      </c>
    </row>
    <row s="1649" customFormat="1" customHeight="1" ht="1.05">
      <c r="A9" s="1174"/>
      <c r="D9" s="1649"/>
      <c r="H9" s="896"/>
      <c r="I9" s="896" t="s">
        <v>209</v>
      </c>
      <c r="AF9" s="1643">
        <v>1</v>
      </c>
    </row>
    <row customHeight="1" ht="11.549999999999999">
      <c r="E10" s="718"/>
      <c r="F10" s="2374" t="s">
        <v>201</v>
      </c>
      <c r="G10" s="2375"/>
      <c r="H10" s="1666" t="str">
        <f>IF(H9="","",INDEX(DIFFERENTIATION_UNMERGE_VD,MATCH(H9,DIFFERENTIATION_ID_DIFF,0)))</f>
        <v/>
      </c>
      <c r="I10" s="1666">
        <f>IF(I9="","",INDEX(DIFFERENTIATION_UNMERGE_VD,MATCH(I9,DIFFERENTIATION_ID_DIFF,0)))</f>
        <v>0</v>
      </c>
      <c r="J10" s="2134"/>
      <c r="AF10" s="1638">
        <v>11</v>
      </c>
    </row>
    <row customHeight="1" ht="11.549999999999999">
      <c r="E11" s="718"/>
      <c r="F11" s="2374" t="s">
        <v>726</v>
      </c>
      <c r="G11" s="2375"/>
      <c r="H11" s="1666" t="str">
        <f>IF(H9="","",INDEX(DIFFERENTIATION_UNMERGE_AREA,MATCH(H9,DIFFERENTIATION_ID_DIFF,0)))</f>
        <v/>
      </c>
      <c r="I11" s="1666" t="str">
        <f>IF(I9="","",INDEX(DIFFERENTIATION_UNMERGE_AREA,MATCH(I9,DIFFERENTIATION_ID_DIFF,0)))</f>
        <v/>
      </c>
      <c r="J11" s="2134"/>
      <c r="AF11" s="1638">
        <v>11</v>
      </c>
    </row>
    <row customHeight="1" ht="11.25" hidden="1">
      <c r="E12" s="1669"/>
      <c r="F12" s="2397" t="s">
        <v>727</v>
      </c>
      <c r="G12" s="2398"/>
      <c r="H12" s="1670" t="str">
        <f>IF(H9="","",INDEX(DIFFERENTIATION_UNMERGE_SYSTEM,MATCH(H9,DIFFERENTIATION_ID_DIFF,0)))</f>
        <v/>
      </c>
      <c r="I12" s="1670" t="str">
        <f>IF(I9="","",INDEX(DIFFERENTIATION_UNMERGE_SYSTEM,MATCH(I9,DIFFERENTIATION_ID_DIFF,0)))</f>
        <v>без дифференциации</v>
      </c>
      <c r="J12" s="2134"/>
      <c r="AF12" s="1638">
        <v>0</v>
      </c>
    </row>
    <row customHeight="1" ht="11.549999999999999">
      <c r="E13" s="2376" t="s">
        <v>463</v>
      </c>
      <c r="F13" s="2377"/>
      <c r="G13" s="2377"/>
      <c r="H13" s="1663"/>
      <c r="I13" s="1663"/>
      <c r="J13" s="2134"/>
      <c r="AF13" s="1638">
        <v>11</v>
      </c>
    </row>
    <row customHeight="1" ht="24">
      <c r="E14" s="1664" t="s">
        <v>88</v>
      </c>
      <c r="F14" s="1667" t="s">
        <v>465</v>
      </c>
      <c r="G14" s="1667" t="s">
        <v>728</v>
      </c>
      <c r="H14" s="1667" t="s">
        <v>466</v>
      </c>
      <c r="I14" s="1667" t="s">
        <v>466</v>
      </c>
      <c r="J14" s="2134"/>
      <c r="AF14" s="1638">
        <v>23</v>
      </c>
    </row>
    <row customHeight="1" ht="19.95">
      <c r="D15" s="1645"/>
      <c r="E15" s="1637" t="s">
        <v>108</v>
      </c>
      <c r="F15" s="714" t="s">
        <v>937</v>
      </c>
      <c r="G15" s="1664" t="s">
        <v>714</v>
      </c>
      <c r="H15" s="564"/>
      <c r="I15" s="564"/>
      <c r="J15" s="296" t="s">
        <v>938</v>
      </c>
      <c r="K15" s="550" t="s">
        <v>792</v>
      </c>
      <c r="AF15" s="1638">
        <v>19</v>
      </c>
    </row>
    <row customHeight="1" ht="24">
      <c r="D16" s="1645"/>
      <c r="E16" s="1637" t="s">
        <v>99</v>
      </c>
      <c r="F16" s="1672" t="s">
        <v>939</v>
      </c>
      <c r="G16" s="1664" t="s">
        <v>714</v>
      </c>
      <c r="H16" s="565">
        <f>SUM(H17,H20:H27)</f>
        <v>0</v>
      </c>
      <c r="I16" s="565">
        <f>SUM(I17,I20:I27)</f>
        <v>0</v>
      </c>
      <c r="J16" s="296" t="s">
        <v>940</v>
      </c>
      <c r="K16" s="550" t="s">
        <v>792</v>
      </c>
      <c r="AF16" s="1638">
        <v>23</v>
      </c>
    </row>
    <row customHeight="1" ht="35.699999999999996">
      <c r="D17" s="1645"/>
      <c r="E17" s="1671" t="s">
        <v>870</v>
      </c>
      <c r="F17" s="1674" t="s">
        <v>941</v>
      </c>
      <c r="G17" s="1661" t="s">
        <v>714</v>
      </c>
      <c r="H17" s="564"/>
      <c r="I17" s="564"/>
      <c r="J17" s="296" t="s">
        <v>942</v>
      </c>
      <c r="K17" s="550"/>
      <c r="AF17" s="1638">
        <v>34</v>
      </c>
    </row>
    <row customHeight="1" ht="19.95">
      <c r="D18" s="1645"/>
      <c r="E18" s="1671" t="s">
        <v>873</v>
      </c>
      <c r="F18" s="1675" t="s">
        <v>943</v>
      </c>
      <c r="G18" s="1661" t="s">
        <v>714</v>
      </c>
      <c r="H18" s="564"/>
      <c r="I18" s="564"/>
      <c r="J18" s="296"/>
      <c r="K18" s="550"/>
      <c r="AF18" s="1638">
        <v>19</v>
      </c>
    </row>
    <row customHeight="1" ht="24">
      <c r="D19" s="1645"/>
      <c r="E19" s="1671" t="s">
        <v>876</v>
      </c>
      <c r="F19" s="1675" t="s">
        <v>944</v>
      </c>
      <c r="G19" s="1661" t="s">
        <v>714</v>
      </c>
      <c r="H19" s="564"/>
      <c r="I19" s="564"/>
      <c r="J19" s="296"/>
      <c r="K19" s="550"/>
      <c r="AF19" s="1638">
        <v>23</v>
      </c>
    </row>
    <row customHeight="1" ht="35.699999999999996">
      <c r="D20" s="1645"/>
      <c r="E20" s="1671" t="s">
        <v>470</v>
      </c>
      <c r="F20" s="1674" t="s">
        <v>945</v>
      </c>
      <c r="G20" s="1661" t="s">
        <v>714</v>
      </c>
      <c r="H20" s="564"/>
      <c r="I20" s="564"/>
      <c r="J20" s="296"/>
      <c r="K20" s="550"/>
      <c r="AF20" s="1638">
        <v>34</v>
      </c>
    </row>
    <row customHeight="1" ht="48.29999999999999">
      <c r="D21" s="1645"/>
      <c r="E21" s="1671" t="s">
        <v>473</v>
      </c>
      <c r="F21" s="1674" t="s">
        <v>946</v>
      </c>
      <c r="G21" s="1661" t="s">
        <v>714</v>
      </c>
      <c r="H21" s="564"/>
      <c r="I21" s="564"/>
      <c r="J21" s="296"/>
      <c r="K21" s="550"/>
      <c r="AF21" s="1638">
        <v>46</v>
      </c>
    </row>
    <row customHeight="1" ht="60">
      <c r="D22" s="1645"/>
      <c r="E22" s="1671" t="s">
        <v>890</v>
      </c>
      <c r="F22" s="1674" t="s">
        <v>947</v>
      </c>
      <c r="G22" s="1661" t="s">
        <v>714</v>
      </c>
      <c r="H22" s="564"/>
      <c r="I22" s="564"/>
      <c r="J22" s="296"/>
      <c r="K22" s="550"/>
      <c r="AF22" s="1638">
        <v>57</v>
      </c>
    </row>
    <row customHeight="1" ht="35.699999999999996">
      <c r="D23" s="1645"/>
      <c r="E23" s="1671" t="s">
        <v>897</v>
      </c>
      <c r="F23" s="1674" t="s">
        <v>948</v>
      </c>
      <c r="G23" s="1661" t="s">
        <v>714</v>
      </c>
      <c r="H23" s="564"/>
      <c r="I23" s="564"/>
      <c r="J23" s="296"/>
      <c r="K23" s="550"/>
      <c r="AF23" s="1638">
        <v>34</v>
      </c>
    </row>
    <row customHeight="1" ht="35.699999999999996">
      <c r="D24" s="1645"/>
      <c r="E24" s="1671" t="s">
        <v>899</v>
      </c>
      <c r="F24" s="1674" t="s">
        <v>949</v>
      </c>
      <c r="G24" s="1661" t="s">
        <v>714</v>
      </c>
      <c r="H24" s="564"/>
      <c r="I24" s="564"/>
      <c r="J24" s="296"/>
      <c r="K24" s="550"/>
      <c r="AF24" s="1638">
        <v>34</v>
      </c>
    </row>
    <row customHeight="1" ht="24">
      <c r="D25" s="1645"/>
      <c r="E25" s="1671" t="s">
        <v>901</v>
      </c>
      <c r="F25" s="1674" t="s">
        <v>950</v>
      </c>
      <c r="G25" s="1661" t="s">
        <v>714</v>
      </c>
      <c r="H25" s="564"/>
      <c r="I25" s="564"/>
      <c r="J25" s="296"/>
      <c r="K25" s="550"/>
      <c r="AF25" s="1638">
        <v>23</v>
      </c>
    </row>
    <row customHeight="1" ht="76.5">
      <c r="D26" s="1645"/>
      <c r="E26" s="1671" t="s">
        <v>903</v>
      </c>
      <c r="F26" s="1674" t="s">
        <v>951</v>
      </c>
      <c r="G26" s="1661" t="s">
        <v>714</v>
      </c>
      <c r="H26" s="564"/>
      <c r="I26" s="564"/>
      <c r="J26" s="296"/>
      <c r="K26" s="550"/>
      <c r="AF26" s="1638">
        <v>73</v>
      </c>
    </row>
    <row s="1373" customFormat="1" customHeight="1" ht="35.699999999999996">
      <c r="A27" s="994"/>
      <c r="C27" s="1643"/>
      <c r="D27" s="1645"/>
      <c r="E27" s="1636" t="s">
        <v>907</v>
      </c>
      <c r="F27" s="1635" t="s">
        <v>952</v>
      </c>
      <c r="G27" s="1662" t="s">
        <v>714</v>
      </c>
      <c r="H27" s="586">
        <f>SUM(H28:H29)</f>
        <v>0</v>
      </c>
      <c r="I27" s="586">
        <f>SUM(I28:I29)</f>
        <v>0</v>
      </c>
      <c r="J27" s="296" t="s">
        <v>905</v>
      </c>
      <c r="K27" s="550"/>
      <c r="L27" s="1643"/>
      <c r="M27" s="1643"/>
      <c r="R27" s="1643"/>
      <c r="U27" s="551"/>
      <c r="AA27" s="1639"/>
      <c r="AB27" s="1639"/>
      <c r="AC27" s="1639"/>
      <c r="AD27" s="1639"/>
      <c r="AE27" s="1639"/>
      <c r="AF27" s="1167">
        <v>34</v>
      </c>
    </row>
    <row s="1649" customFormat="1" customHeight="1" ht="1.05">
      <c r="A28" s="1174"/>
      <c r="D28" s="555"/>
      <c r="E28" s="809" t="str">
        <f>E27&amp;".0"</f>
        <v>2.9.0</v>
      </c>
      <c r="F28" s="998"/>
      <c r="G28" s="558"/>
      <c r="H28" s="999"/>
      <c r="I28" s="999"/>
      <c r="J28" s="1000"/>
      <c r="AF28" s="1643">
        <v>1</v>
      </c>
    </row>
    <row s="1373" customFormat="1" customHeight="1" ht="19.95">
      <c r="A29" s="994"/>
      <c r="C29" s="1643"/>
      <c r="D29" s="1640"/>
      <c r="E29" s="577"/>
      <c r="F29" s="1673" t="s">
        <v>739</v>
      </c>
      <c r="G29" s="579"/>
      <c r="H29" s="580"/>
      <c r="I29" s="580"/>
      <c r="J29" s="308" t="s">
        <v>906</v>
      </c>
      <c r="K29" s="550"/>
      <c r="L29" s="1643"/>
      <c r="M29" s="1643"/>
      <c r="R29" s="1643"/>
      <c r="U29" s="551"/>
      <c r="AA29" s="1639"/>
      <c r="AB29" s="1639"/>
      <c r="AC29" s="1639"/>
      <c r="AD29" s="1639"/>
      <c r="AE29" s="1639"/>
      <c r="AF29" s="1167">
        <v>19</v>
      </c>
    </row>
    <row s="1373" customFormat="1" customHeight="1" ht="24">
      <c r="A30" s="994"/>
      <c r="C30" s="1643"/>
      <c r="D30" s="1645"/>
      <c r="E30" s="1671" t="s">
        <v>90</v>
      </c>
      <c r="F30" s="1668" t="s">
        <v>953</v>
      </c>
      <c r="G30" s="1661" t="s">
        <v>714</v>
      </c>
      <c r="H30" s="564"/>
      <c r="I30" s="564"/>
      <c r="J30" s="296"/>
      <c r="K30" s="550"/>
      <c r="L30" s="1643"/>
      <c r="M30" s="1643"/>
      <c r="R30" s="1643"/>
      <c r="U30" s="551"/>
      <c r="AA30" s="1639"/>
      <c r="AB30" s="1639"/>
      <c r="AC30" s="1639"/>
      <c r="AD30" s="1639"/>
      <c r="AE30" s="1639"/>
      <c r="AF30" s="1167">
        <v>23</v>
      </c>
    </row>
    <row s="1373" customFormat="1" customHeight="1" ht="35.699999999999996">
      <c r="A31" s="994"/>
      <c r="C31" s="1643"/>
      <c r="D31" s="582"/>
      <c r="E31" s="1671" t="s">
        <v>91</v>
      </c>
      <c r="F31" s="1668" t="s">
        <v>954</v>
      </c>
      <c r="G31" s="1661" t="s">
        <v>714</v>
      </c>
      <c r="H31" s="564"/>
      <c r="I31" s="564"/>
      <c r="J31" s="296" t="s">
        <v>955</v>
      </c>
      <c r="K31" s="550"/>
      <c r="L31" s="1643"/>
      <c r="M31" s="1643"/>
      <c r="R31" s="1643"/>
      <c r="U31" s="551"/>
      <c r="AA31" s="1639"/>
      <c r="AB31" s="1639"/>
      <c r="AC31" s="1639"/>
      <c r="AD31" s="1639"/>
      <c r="AE31" s="1639"/>
      <c r="AF31" s="1167">
        <v>34</v>
      </c>
    </row>
    <row s="1373" customFormat="1" customHeight="1" ht="24">
      <c r="A32" s="994"/>
      <c r="C32" s="1643"/>
      <c r="D32" s="1645"/>
      <c r="E32" s="1671" t="s">
        <v>915</v>
      </c>
      <c r="F32" s="697" t="s">
        <v>919</v>
      </c>
      <c r="G32" s="1661" t="s">
        <v>714</v>
      </c>
      <c r="H32" s="564"/>
      <c r="I32" s="564"/>
      <c r="J32" s="296" t="s">
        <v>956</v>
      </c>
      <c r="K32" s="550"/>
      <c r="L32" s="1643"/>
      <c r="M32" s="1643"/>
      <c r="R32" s="1643"/>
      <c r="U32" s="551"/>
      <c r="AA32" s="1639"/>
      <c r="AB32" s="1639"/>
      <c r="AC32" s="1639"/>
      <c r="AD32" s="1639"/>
      <c r="AE32" s="1639"/>
      <c r="AF32" s="1167">
        <v>23</v>
      </c>
    </row>
    <row s="1373" customFormat="1" customHeight="1" ht="24">
      <c r="A33" s="994"/>
      <c r="C33" s="1643"/>
      <c r="D33" s="1645"/>
      <c r="E33" s="1671" t="s">
        <v>957</v>
      </c>
      <c r="F33" s="697" t="s">
        <v>958</v>
      </c>
      <c r="G33" s="1661" t="s">
        <v>714</v>
      </c>
      <c r="H33" s="564"/>
      <c r="I33" s="564"/>
      <c r="J33" s="296" t="s">
        <v>959</v>
      </c>
      <c r="K33" s="550"/>
      <c r="L33" s="1643"/>
      <c r="M33" s="1643"/>
      <c r="R33" s="1643"/>
      <c r="U33" s="551"/>
      <c r="AA33" s="1639"/>
      <c r="AB33" s="1639"/>
      <c r="AC33" s="1639"/>
      <c r="AD33" s="1639"/>
      <c r="AE33" s="1639"/>
      <c r="AF33" s="1167">
        <v>23</v>
      </c>
    </row>
    <row s="1373" customFormat="1" customHeight="1" ht="24">
      <c r="A34" s="994"/>
      <c r="C34" s="1643"/>
      <c r="D34" s="1645"/>
      <c r="E34" s="1671" t="s">
        <v>960</v>
      </c>
      <c r="F34" s="697" t="s">
        <v>925</v>
      </c>
      <c r="G34" s="1661" t="s">
        <v>714</v>
      </c>
      <c r="H34" s="564"/>
      <c r="I34" s="564"/>
      <c r="J34" s="296" t="s">
        <v>961</v>
      </c>
      <c r="K34" s="550"/>
      <c r="L34" s="1643"/>
      <c r="M34" s="1643"/>
      <c r="R34" s="1643"/>
      <c r="U34" s="551"/>
      <c r="AA34" s="1639"/>
      <c r="AB34" s="1639"/>
      <c r="AC34" s="1639"/>
      <c r="AD34" s="1639"/>
      <c r="AE34" s="1639"/>
      <c r="AF34" s="1167">
        <v>23</v>
      </c>
    </row>
    <row s="1373" customFormat="1" customHeight="1" ht="35.699999999999996">
      <c r="A35" s="994"/>
      <c r="C35" s="1643" t="s">
        <v>750</v>
      </c>
      <c r="D35" s="1645"/>
      <c r="E35" s="1671" t="s">
        <v>119</v>
      </c>
      <c r="F35" s="1668" t="s">
        <v>791</v>
      </c>
      <c r="G35" s="1664" t="s">
        <v>469</v>
      </c>
      <c r="H35" s="408"/>
      <c r="I35" s="408"/>
      <c r="J35" s="296" t="s">
        <v>962</v>
      </c>
      <c r="K35" s="550"/>
      <c r="L35" s="1643"/>
      <c r="M35" s="1643"/>
      <c r="R35" s="1643"/>
      <c r="U35" s="551"/>
      <c r="AA35" s="1639"/>
      <c r="AB35" s="1639"/>
      <c r="AC35" s="1639"/>
      <c r="AD35" s="1639"/>
      <c r="AE35" s="1639"/>
      <c r="AF35" s="1167">
        <v>34</v>
      </c>
    </row>
    <row s="1373" customFormat="1" customHeight="1" ht="35.699999999999996">
      <c r="A36" s="994"/>
      <c r="C36" s="1643"/>
      <c r="D36" s="1645"/>
      <c r="E36" s="1671" t="s">
        <v>92</v>
      </c>
      <c r="F36" s="1668" t="s">
        <v>963</v>
      </c>
      <c r="G36" s="1661" t="s">
        <v>930</v>
      </c>
      <c r="H36" s="552"/>
      <c r="I36" s="552"/>
      <c r="J36" s="296" t="s">
        <v>931</v>
      </c>
      <c r="K36" s="550"/>
      <c r="L36" s="1643"/>
      <c r="M36" s="1643"/>
      <c r="R36" s="1643"/>
      <c r="U36" s="551"/>
      <c r="AA36" s="1639"/>
      <c r="AB36" s="1639"/>
      <c r="AC36" s="1639"/>
      <c r="AD36" s="1639"/>
      <c r="AE36" s="1639"/>
      <c r="AF36" s="1167">
        <v>34</v>
      </c>
    </row>
    <row s="1373" customFormat="1" customHeight="1" ht="24">
      <c r="A37" s="994"/>
      <c r="C37" s="1643"/>
      <c r="D37" s="1645"/>
      <c r="E37" s="1671" t="s">
        <v>93</v>
      </c>
      <c r="F37" s="1668" t="s">
        <v>964</v>
      </c>
      <c r="G37" s="1661" t="s">
        <v>933</v>
      </c>
      <c r="H37" s="552"/>
      <c r="I37" s="552"/>
      <c r="J37" s="296" t="s">
        <v>934</v>
      </c>
      <c r="K37" s="550"/>
      <c r="L37" s="1643"/>
      <c r="M37" s="1643"/>
      <c r="R37" s="1643"/>
      <c r="U37" s="551"/>
      <c r="AA37" s="1639"/>
      <c r="AB37" s="1639"/>
      <c r="AC37" s="1639"/>
      <c r="AD37" s="1639"/>
      <c r="AE37" s="1639"/>
      <c r="AF37" s="1167">
        <v>23</v>
      </c>
    </row>
    <row customHeight="1" ht="11.549999999999999">
      <c r="D38" s="1645"/>
      <c r="AF38" s="1638">
        <v>11</v>
      </c>
    </row>
    <row customHeight="1" ht="27.299999999999997">
      <c r="D39" s="1645"/>
      <c r="E39" s="1260" t="s">
        <v>965</v>
      </c>
      <c r="F39" s="2292" t="s">
        <v>966</v>
      </c>
      <c r="G39" s="2292"/>
      <c r="H39" s="376"/>
      <c r="I39" s="376"/>
      <c r="J39" s="376"/>
      <c r="AF39" s="1638">
        <v>26</v>
      </c>
    </row>
    <row s="1648" customFormat="1" customHeight="1" ht="39.75">
      <c r="A40" s="994"/>
      <c r="B40" s="1643"/>
      <c r="C40" s="1643"/>
      <c r="D40" s="358"/>
      <c r="F40" s="2292" t="s">
        <v>967</v>
      </c>
      <c r="G40" s="2292"/>
      <c r="H40" s="376"/>
      <c r="I40" s="376"/>
      <c r="J40" s="376"/>
      <c r="K40" s="1167"/>
      <c r="L40" s="1643"/>
      <c r="M40" s="1643"/>
      <c r="N40" s="1167"/>
      <c r="O40" s="1167"/>
      <c r="P40" s="1167"/>
      <c r="Q40" s="1167"/>
      <c r="R40" s="1643"/>
      <c r="S40" s="1167"/>
      <c r="T40" s="1167"/>
      <c r="U40" s="551"/>
      <c r="V40" s="1167"/>
      <c r="W40" s="1167"/>
      <c r="X40" s="1167"/>
      <c r="Y40" s="1167"/>
      <c r="Z40" s="1167"/>
      <c r="AA40" s="1639"/>
      <c r="AB40" s="573"/>
      <c r="AC40" s="573"/>
      <c r="AD40" s="573"/>
      <c r="AE40" s="573"/>
      <c r="AF40" s="1648">
        <v>38</v>
      </c>
    </row>
    <row s="1648" customFormat="1" customHeight="1" ht="11.549999999999999">
      <c r="A41" s="994"/>
      <c r="B41" s="1643"/>
      <c r="C41" s="1643"/>
      <c r="D41" s="358"/>
      <c r="K41" s="1167"/>
      <c r="L41" s="1643"/>
      <c r="M41" s="1643"/>
      <c r="N41" s="1167"/>
      <c r="O41" s="1167"/>
      <c r="P41" s="1167"/>
      <c r="Q41" s="1167"/>
      <c r="R41" s="1643"/>
      <c r="S41" s="1167"/>
      <c r="T41" s="1167"/>
      <c r="U41" s="551"/>
      <c r="V41" s="1167"/>
      <c r="W41" s="1167"/>
      <c r="X41" s="1167"/>
      <c r="Y41" s="1167"/>
      <c r="Z41" s="1167"/>
      <c r="AA41" s="1639"/>
      <c r="AB41" s="573"/>
      <c r="AC41" s="573"/>
      <c r="AD41" s="573"/>
      <c r="AE41" s="573"/>
      <c r="AF41" s="1648">
        <v>11</v>
      </c>
    </row>
    <row s="1648" customFormat="1" customHeight="1" ht="11.549999999999999">
      <c r="A42" s="994"/>
      <c r="B42" s="1643"/>
      <c r="C42" s="1643"/>
      <c r="D42" s="358"/>
      <c r="K42" s="1167"/>
      <c r="L42" s="1643"/>
      <c r="M42" s="1643"/>
      <c r="N42" s="1167"/>
      <c r="O42" s="1167"/>
      <c r="P42" s="1167"/>
      <c r="Q42" s="1167"/>
      <c r="R42" s="1643"/>
      <c r="S42" s="1167"/>
      <c r="T42" s="1167"/>
      <c r="U42" s="551"/>
      <c r="V42" s="1167"/>
      <c r="W42" s="1167"/>
      <c r="X42" s="1167"/>
      <c r="Y42" s="1167"/>
      <c r="Z42" s="1167"/>
      <c r="AA42" s="1639"/>
      <c r="AB42" s="573"/>
      <c r="AC42" s="573"/>
      <c r="AD42" s="573"/>
      <c r="AE42" s="573"/>
      <c r="AF42" s="1648">
        <v>11</v>
      </c>
    </row>
    <row s="1648" customFormat="1" customHeight="1" ht="11.549999999999999">
      <c r="A43" s="994"/>
      <c r="B43" s="1643"/>
      <c r="C43" s="1643"/>
      <c r="D43" s="358"/>
      <c r="H43" s="573"/>
      <c r="I43" s="573"/>
      <c r="K43" s="1167"/>
      <c r="L43" s="1643"/>
      <c r="M43" s="1643"/>
      <c r="N43" s="1167"/>
      <c r="O43" s="1167"/>
      <c r="P43" s="1167"/>
      <c r="Q43" s="1167"/>
      <c r="R43" s="1643"/>
      <c r="S43" s="1167"/>
      <c r="T43" s="1167"/>
      <c r="U43" s="551"/>
      <c r="V43" s="1167"/>
      <c r="W43" s="1167"/>
      <c r="X43" s="1167"/>
      <c r="Y43" s="1167"/>
      <c r="Z43" s="1167"/>
      <c r="AA43" s="1639"/>
      <c r="AB43" s="573"/>
      <c r="AC43" s="573"/>
      <c r="AD43" s="573"/>
      <c r="AE43" s="573"/>
      <c r="AF43" s="1648">
        <v>11</v>
      </c>
    </row>
    <row s="1648" customFormat="1" customHeight="1" ht="11.549999999999999">
      <c r="A44" s="994"/>
      <c r="B44" s="1643"/>
      <c r="C44" s="1643"/>
      <c r="D44" s="358"/>
      <c r="K44" s="1167"/>
      <c r="L44" s="1643"/>
      <c r="M44" s="1643"/>
      <c r="N44" s="1167"/>
      <c r="O44" s="1167"/>
      <c r="P44" s="1167"/>
      <c r="Q44" s="1167"/>
      <c r="R44" s="1643"/>
      <c r="S44" s="1167"/>
      <c r="T44" s="1167"/>
      <c r="U44" s="551"/>
      <c r="V44" s="1167"/>
      <c r="W44" s="1167"/>
      <c r="X44" s="1167"/>
      <c r="Y44" s="1167"/>
      <c r="Z44" s="1167"/>
      <c r="AA44" s="1639"/>
      <c r="AB44" s="573"/>
      <c r="AC44" s="573"/>
      <c r="AD44" s="573"/>
      <c r="AE44" s="573"/>
      <c r="AF44" s="1648">
        <v>11</v>
      </c>
    </row>
    <row s="1648" customFormat="1" customHeight="1" ht="11.549999999999999">
      <c r="A45" s="994"/>
      <c r="B45" s="1643"/>
      <c r="C45" s="1643"/>
      <c r="D45" s="358"/>
      <c r="K45" s="1167"/>
      <c r="L45" s="1643"/>
      <c r="M45" s="1643"/>
      <c r="N45" s="1167"/>
      <c r="O45" s="1167"/>
      <c r="P45" s="1167"/>
      <c r="Q45" s="1167"/>
      <c r="R45" s="1643"/>
      <c r="S45" s="1167"/>
      <c r="T45" s="1167"/>
      <c r="U45" s="551"/>
      <c r="V45" s="1167"/>
      <c r="W45" s="1167"/>
      <c r="X45" s="1167"/>
      <c r="Y45" s="1167"/>
      <c r="Z45" s="1167"/>
      <c r="AA45" s="1639"/>
      <c r="AB45" s="573"/>
      <c r="AC45" s="573"/>
      <c r="AD45" s="573"/>
      <c r="AE45" s="573"/>
      <c r="AF45" s="1648">
        <v>11</v>
      </c>
    </row>
    <row s="1648" customFormat="1" customHeight="1" ht="11.549999999999999">
      <c r="A46" s="994"/>
      <c r="B46" s="1643"/>
      <c r="C46" s="1643"/>
      <c r="D46" s="358"/>
      <c r="K46" s="1167"/>
      <c r="L46" s="1643"/>
      <c r="M46" s="1643"/>
      <c r="N46" s="1167"/>
      <c r="O46" s="1167"/>
      <c r="P46" s="1167"/>
      <c r="Q46" s="1167"/>
      <c r="R46" s="1643"/>
      <c r="S46" s="1167"/>
      <c r="T46" s="1167"/>
      <c r="U46" s="551"/>
      <c r="V46" s="1167"/>
      <c r="W46" s="1167"/>
      <c r="X46" s="1167"/>
      <c r="Y46" s="1167"/>
      <c r="Z46" s="1167"/>
      <c r="AA46" s="1639"/>
      <c r="AB46" s="573"/>
      <c r="AC46" s="573"/>
      <c r="AD46" s="573"/>
      <c r="AE46" s="573"/>
      <c r="AF46" s="1648">
        <v>11</v>
      </c>
    </row>
    <row s="1648" customFormat="1" customHeight="1" ht="11.549999999999999">
      <c r="A47" s="994"/>
      <c r="B47" s="1643"/>
      <c r="C47" s="1643"/>
      <c r="D47" s="358"/>
      <c r="K47" s="1167"/>
      <c r="L47" s="1643"/>
      <c r="M47" s="1643"/>
      <c r="N47" s="1167"/>
      <c r="O47" s="1167"/>
      <c r="P47" s="1167"/>
      <c r="Q47" s="1167"/>
      <c r="R47" s="1643"/>
      <c r="S47" s="1167"/>
      <c r="T47" s="1167"/>
      <c r="U47" s="551"/>
      <c r="V47" s="1167"/>
      <c r="W47" s="1167"/>
      <c r="X47" s="1167"/>
      <c r="Y47" s="1167"/>
      <c r="Z47" s="1167"/>
      <c r="AA47" s="1639"/>
      <c r="AB47" s="573"/>
      <c r="AC47" s="573"/>
      <c r="AD47" s="573"/>
      <c r="AE47" s="573"/>
      <c r="AF47" s="1648">
        <v>11</v>
      </c>
    </row>
    <row s="1648" customFormat="1" customHeight="1" ht="11.549999999999999">
      <c r="A48" s="994"/>
      <c r="B48" s="1643"/>
      <c r="C48" s="1643"/>
      <c r="D48" s="358"/>
      <c r="K48" s="1167"/>
      <c r="L48" s="1643"/>
      <c r="M48" s="1643"/>
      <c r="N48" s="1167"/>
      <c r="O48" s="1167"/>
      <c r="P48" s="1167"/>
      <c r="Q48" s="1167"/>
      <c r="R48" s="1643"/>
      <c r="S48" s="1167"/>
      <c r="T48" s="1167"/>
      <c r="U48" s="551"/>
      <c r="V48" s="1167"/>
      <c r="W48" s="1167"/>
      <c r="X48" s="1167"/>
      <c r="Y48" s="1167"/>
      <c r="Z48" s="1167"/>
      <c r="AA48" s="1639"/>
      <c r="AB48" s="573"/>
      <c r="AC48" s="573"/>
      <c r="AD48" s="573"/>
      <c r="AE48" s="573"/>
      <c r="AF48" s="1648">
        <v>11</v>
      </c>
    </row>
    <row s="1648" customFormat="1" customHeight="1" ht="11.549999999999999">
      <c r="A49" s="994"/>
      <c r="B49" s="1643"/>
      <c r="C49" s="1643"/>
      <c r="D49" s="358"/>
      <c r="K49" s="1167"/>
      <c r="L49" s="1643"/>
      <c r="M49" s="1643"/>
      <c r="N49" s="1167"/>
      <c r="O49" s="1167"/>
      <c r="P49" s="1167"/>
      <c r="Q49" s="1167"/>
      <c r="R49" s="1643"/>
      <c r="S49" s="1167"/>
      <c r="T49" s="1167"/>
      <c r="U49" s="551"/>
      <c r="V49" s="1167"/>
      <c r="W49" s="1167"/>
      <c r="X49" s="1167"/>
      <c r="Y49" s="1167"/>
      <c r="Z49" s="1167"/>
      <c r="AA49" s="1639"/>
      <c r="AB49" s="573"/>
      <c r="AC49" s="573"/>
      <c r="AD49" s="573"/>
      <c r="AE49" s="573"/>
      <c r="AF49" s="1648">
        <v>11</v>
      </c>
    </row>
    <row s="1648" customFormat="1" customHeight="1" ht="11.549999999999999">
      <c r="A50" s="994"/>
      <c r="B50" s="1643"/>
      <c r="C50" s="1643"/>
      <c r="D50" s="358"/>
      <c r="K50" s="1167"/>
      <c r="L50" s="1643"/>
      <c r="M50" s="1643"/>
      <c r="N50" s="1167"/>
      <c r="O50" s="1167"/>
      <c r="P50" s="1167"/>
      <c r="Q50" s="1167"/>
      <c r="R50" s="1643"/>
      <c r="S50" s="1167"/>
      <c r="T50" s="1167"/>
      <c r="U50" s="551"/>
      <c r="V50" s="1167"/>
      <c r="W50" s="1167"/>
      <c r="X50" s="1167"/>
      <c r="Y50" s="1167"/>
      <c r="Z50" s="1167"/>
      <c r="AA50" s="1639"/>
      <c r="AB50" s="573"/>
      <c r="AC50" s="573"/>
      <c r="AD50" s="573"/>
      <c r="AE50" s="573"/>
      <c r="AF50" s="1648">
        <v>11</v>
      </c>
    </row>
    <row s="1648" customFormat="1" customHeight="1" ht="11.549999999999999">
      <c r="A51" s="994"/>
      <c r="B51" s="1643"/>
      <c r="C51" s="1643"/>
      <c r="D51" s="358"/>
      <c r="K51" s="1167"/>
      <c r="L51" s="1643"/>
      <c r="M51" s="1643"/>
      <c r="N51" s="1167"/>
      <c r="O51" s="1167"/>
      <c r="P51" s="1167"/>
      <c r="Q51" s="1167"/>
      <c r="R51" s="1643"/>
      <c r="S51" s="1167"/>
      <c r="T51" s="1167"/>
      <c r="U51" s="551"/>
      <c r="V51" s="1167"/>
      <c r="W51" s="1167"/>
      <c r="X51" s="1167"/>
      <c r="Y51" s="1167"/>
      <c r="Z51" s="1167"/>
      <c r="AA51" s="1639"/>
      <c r="AB51" s="573"/>
      <c r="AC51" s="573"/>
      <c r="AD51" s="573"/>
      <c r="AE51" s="573"/>
      <c r="AF51" s="1648">
        <v>11</v>
      </c>
    </row>
    <row s="1648" customFormat="1" customHeight="1" ht="11.549999999999999">
      <c r="A52" s="994"/>
      <c r="B52" s="1643"/>
      <c r="C52" s="1643"/>
      <c r="D52" s="358"/>
      <c r="K52" s="1167"/>
      <c r="L52" s="1643"/>
      <c r="M52" s="1643"/>
      <c r="N52" s="1167"/>
      <c r="O52" s="1167"/>
      <c r="P52" s="1167"/>
      <c r="Q52" s="1167"/>
      <c r="R52" s="1643"/>
      <c r="S52" s="1167"/>
      <c r="T52" s="1167"/>
      <c r="U52" s="551"/>
      <c r="V52" s="1167"/>
      <c r="W52" s="1167"/>
      <c r="X52" s="1167"/>
      <c r="Y52" s="1167"/>
      <c r="Z52" s="1167"/>
      <c r="AA52" s="1639"/>
      <c r="AB52" s="573"/>
      <c r="AC52" s="573"/>
      <c r="AD52" s="573"/>
      <c r="AE52" s="573"/>
      <c r="AF52" s="1648">
        <v>11</v>
      </c>
    </row>
    <row s="1648" customFormat="1" customHeight="1" ht="11.549999999999999">
      <c r="A53" s="994"/>
      <c r="B53" s="1643"/>
      <c r="C53" s="1643"/>
      <c r="D53" s="358"/>
      <c r="K53" s="1167"/>
      <c r="L53" s="1643"/>
      <c r="M53" s="1643"/>
      <c r="N53" s="1167"/>
      <c r="O53" s="1167"/>
      <c r="P53" s="1167"/>
      <c r="Q53" s="1167"/>
      <c r="R53" s="1643"/>
      <c r="S53" s="1167"/>
      <c r="T53" s="1167"/>
      <c r="U53" s="551"/>
      <c r="V53" s="1167"/>
      <c r="W53" s="1167"/>
      <c r="X53" s="1167"/>
      <c r="Y53" s="1167"/>
      <c r="Z53" s="1167"/>
      <c r="AA53" s="1639"/>
      <c r="AB53" s="573"/>
      <c r="AC53" s="573"/>
      <c r="AD53" s="573"/>
      <c r="AE53" s="573"/>
      <c r="AF53" s="1648">
        <v>11</v>
      </c>
    </row>
    <row s="1648" customFormat="1" customHeight="1" ht="11.549999999999999">
      <c r="A54" s="994"/>
      <c r="B54" s="1643"/>
      <c r="C54" s="1643"/>
      <c r="D54" s="358"/>
      <c r="K54" s="1167"/>
      <c r="L54" s="1643"/>
      <c r="M54" s="1643"/>
      <c r="N54" s="1167"/>
      <c r="O54" s="1167"/>
      <c r="P54" s="1167"/>
      <c r="Q54" s="1167"/>
      <c r="R54" s="1643"/>
      <c r="S54" s="1167"/>
      <c r="T54" s="1167"/>
      <c r="U54" s="551"/>
      <c r="V54" s="1167"/>
      <c r="W54" s="1167"/>
      <c r="X54" s="1167"/>
      <c r="Y54" s="1167"/>
      <c r="Z54" s="1167"/>
      <c r="AA54" s="1639"/>
      <c r="AB54" s="573"/>
      <c r="AC54" s="573"/>
      <c r="AD54" s="573"/>
      <c r="AE54" s="573"/>
      <c r="AF54" s="1648">
        <v>11</v>
      </c>
    </row>
    <row s="1648" customFormat="1" customHeight="1" ht="11.549999999999999">
      <c r="A55" s="994"/>
      <c r="B55" s="1643"/>
      <c r="C55" s="1643"/>
      <c r="D55" s="358"/>
      <c r="K55" s="1167"/>
      <c r="L55" s="1643"/>
      <c r="M55" s="1643"/>
      <c r="N55" s="1167"/>
      <c r="O55" s="1167"/>
      <c r="P55" s="1167"/>
      <c r="Q55" s="1167"/>
      <c r="R55" s="1643"/>
      <c r="S55" s="1167"/>
      <c r="T55" s="1167"/>
      <c r="U55" s="551"/>
      <c r="V55" s="1167"/>
      <c r="W55" s="1167"/>
      <c r="X55" s="1167"/>
      <c r="Y55" s="1167"/>
      <c r="Z55" s="1167"/>
      <c r="AA55" s="1639"/>
      <c r="AB55" s="573"/>
      <c r="AC55" s="573"/>
      <c r="AD55" s="573"/>
      <c r="AE55" s="573"/>
      <c r="AF55" s="1648">
        <v>11</v>
      </c>
    </row>
    <row s="1648" customFormat="1" customHeight="1" ht="11.549999999999999">
      <c r="A56" s="994"/>
      <c r="B56" s="1643"/>
      <c r="C56" s="1643"/>
      <c r="D56" s="358"/>
      <c r="K56" s="1167"/>
      <c r="L56" s="1643"/>
      <c r="M56" s="1643"/>
      <c r="N56" s="1167"/>
      <c r="O56" s="1167"/>
      <c r="P56" s="1167"/>
      <c r="Q56" s="1167"/>
      <c r="R56" s="1643"/>
      <c r="S56" s="1167"/>
      <c r="T56" s="1167"/>
      <c r="U56" s="551"/>
      <c r="V56" s="1167"/>
      <c r="W56" s="1167"/>
      <c r="X56" s="1167"/>
      <c r="Y56" s="1167"/>
      <c r="Z56" s="1167"/>
      <c r="AA56" s="1639"/>
      <c r="AB56" s="573"/>
      <c r="AC56" s="573"/>
      <c r="AD56" s="573"/>
      <c r="AE56" s="573"/>
      <c r="AF56" s="1648">
        <v>11</v>
      </c>
    </row>
    <row s="1648" customFormat="1" customHeight="1" ht="11.549999999999999">
      <c r="A57" s="994"/>
      <c r="B57" s="1643"/>
      <c r="C57" s="1643"/>
      <c r="D57" s="358"/>
      <c r="K57" s="1167"/>
      <c r="L57" s="1643"/>
      <c r="M57" s="1643"/>
      <c r="N57" s="1167"/>
      <c r="O57" s="1167"/>
      <c r="P57" s="1167"/>
      <c r="Q57" s="1167"/>
      <c r="R57" s="1643"/>
      <c r="S57" s="1167"/>
      <c r="T57" s="1167"/>
      <c r="U57" s="551"/>
      <c r="V57" s="1167"/>
      <c r="W57" s="1167"/>
      <c r="X57" s="1167"/>
      <c r="Y57" s="1167"/>
      <c r="Z57" s="1167"/>
      <c r="AA57" s="1639"/>
      <c r="AB57" s="573"/>
      <c r="AC57" s="573"/>
      <c r="AD57" s="573"/>
      <c r="AE57" s="573"/>
      <c r="AF57" s="1648">
        <v>11</v>
      </c>
    </row>
    <row s="1648" customFormat="1" customHeight="1" ht="11.549999999999999">
      <c r="A58" s="994"/>
      <c r="B58" s="1643"/>
      <c r="C58" s="1643"/>
      <c r="D58" s="358"/>
      <c r="K58" s="1167"/>
      <c r="L58" s="1643"/>
      <c r="M58" s="1643"/>
      <c r="N58" s="1167"/>
      <c r="O58" s="1167"/>
      <c r="P58" s="1167"/>
      <c r="Q58" s="1167"/>
      <c r="R58" s="1643"/>
      <c r="S58" s="1167"/>
      <c r="T58" s="1167"/>
      <c r="U58" s="551"/>
      <c r="V58" s="1167"/>
      <c r="W58" s="1167"/>
      <c r="X58" s="1167"/>
      <c r="Y58" s="1167"/>
      <c r="Z58" s="1167"/>
      <c r="AA58" s="1639"/>
      <c r="AB58" s="573"/>
      <c r="AC58" s="573"/>
      <c r="AD58" s="573"/>
      <c r="AE58" s="573"/>
      <c r="AF58" s="1648">
        <v>11</v>
      </c>
    </row>
    <row s="1648" customFormat="1" customHeight="1" ht="11.549999999999999">
      <c r="A59" s="994"/>
      <c r="B59" s="1643"/>
      <c r="C59" s="1643"/>
      <c r="D59" s="358"/>
      <c r="K59" s="1167"/>
      <c r="L59" s="1643"/>
      <c r="M59" s="1643"/>
      <c r="N59" s="1167"/>
      <c r="O59" s="1167"/>
      <c r="P59" s="1167"/>
      <c r="Q59" s="1167"/>
      <c r="R59" s="1643"/>
      <c r="S59" s="1167"/>
      <c r="T59" s="1167"/>
      <c r="U59" s="551"/>
      <c r="V59" s="1167"/>
      <c r="W59" s="1167"/>
      <c r="X59" s="1167"/>
      <c r="Y59" s="1167"/>
      <c r="Z59" s="1167"/>
      <c r="AA59" s="1639"/>
      <c r="AB59" s="573"/>
      <c r="AC59" s="573"/>
      <c r="AD59" s="573"/>
      <c r="AE59" s="573"/>
      <c r="AF59" s="1648">
        <v>11</v>
      </c>
    </row>
    <row s="1648" customFormat="1" customHeight="1" ht="11.549999999999999">
      <c r="A60" s="994"/>
      <c r="B60" s="1643"/>
      <c r="C60" s="1643"/>
      <c r="D60" s="358"/>
      <c r="K60" s="1167"/>
      <c r="L60" s="1643"/>
      <c r="M60" s="1643"/>
      <c r="N60" s="1167"/>
      <c r="O60" s="1167"/>
      <c r="P60" s="1167"/>
      <c r="Q60" s="1167"/>
      <c r="R60" s="1643"/>
      <c r="S60" s="1167"/>
      <c r="T60" s="1167"/>
      <c r="U60" s="551"/>
      <c r="V60" s="1167"/>
      <c r="W60" s="1167"/>
      <c r="X60" s="1167"/>
      <c r="Y60" s="1167"/>
      <c r="Z60" s="1167"/>
      <c r="AA60" s="1639"/>
      <c r="AB60" s="573"/>
      <c r="AC60" s="573"/>
      <c r="AD60" s="573"/>
      <c r="AE60" s="573"/>
      <c r="AF60" s="1648">
        <v>11</v>
      </c>
    </row>
    <row s="1648" customFormat="1" customHeight="1" ht="11.549999999999999">
      <c r="A61" s="994"/>
      <c r="B61" s="1643"/>
      <c r="C61" s="1643"/>
      <c r="D61" s="358"/>
      <c r="K61" s="1167"/>
      <c r="L61" s="1643"/>
      <c r="M61" s="1643"/>
      <c r="N61" s="1167"/>
      <c r="O61" s="1167"/>
      <c r="P61" s="1167"/>
      <c r="Q61" s="1167"/>
      <c r="R61" s="1643"/>
      <c r="S61" s="1167"/>
      <c r="T61" s="1167"/>
      <c r="U61" s="551"/>
      <c r="V61" s="1167"/>
      <c r="W61" s="1167"/>
      <c r="X61" s="1167"/>
      <c r="Y61" s="1167"/>
      <c r="Z61" s="1167"/>
      <c r="AA61" s="1639"/>
      <c r="AB61" s="573"/>
      <c r="AC61" s="573"/>
      <c r="AD61" s="573"/>
      <c r="AE61" s="573"/>
      <c r="AF61" s="1648">
        <v>11</v>
      </c>
    </row>
    <row s="1648" customFormat="1" customHeight="1" ht="11.549999999999999">
      <c r="A62" s="994"/>
      <c r="B62" s="1643"/>
      <c r="C62" s="1643"/>
      <c r="D62" s="358"/>
      <c r="K62" s="1167"/>
      <c r="L62" s="1643"/>
      <c r="M62" s="1643"/>
      <c r="N62" s="1167"/>
      <c r="O62" s="1167"/>
      <c r="P62" s="1167"/>
      <c r="Q62" s="1167"/>
      <c r="R62" s="1643"/>
      <c r="S62" s="1167"/>
      <c r="T62" s="1167"/>
      <c r="U62" s="551"/>
      <c r="V62" s="1167"/>
      <c r="W62" s="1167"/>
      <c r="X62" s="1167"/>
      <c r="Y62" s="1167"/>
      <c r="Z62" s="1167"/>
      <c r="AA62" s="1639"/>
      <c r="AB62" s="573"/>
      <c r="AC62" s="573"/>
      <c r="AD62" s="573"/>
      <c r="AE62" s="573"/>
      <c r="AF62" s="1648">
        <v>11</v>
      </c>
    </row>
    <row s="1648" customFormat="1" customHeight="1" ht="11.549999999999999">
      <c r="A63" s="994"/>
      <c r="B63" s="1643"/>
      <c r="C63" s="1643"/>
      <c r="D63" s="358"/>
      <c r="K63" s="1167"/>
      <c r="L63" s="1643"/>
      <c r="M63" s="1643"/>
      <c r="N63" s="1167"/>
      <c r="O63" s="1167"/>
      <c r="P63" s="1167"/>
      <c r="Q63" s="1167"/>
      <c r="R63" s="1643"/>
      <c r="S63" s="1167"/>
      <c r="T63" s="1167"/>
      <c r="U63" s="551"/>
      <c r="V63" s="1167"/>
      <c r="W63" s="1167"/>
      <c r="X63" s="1167"/>
      <c r="Y63" s="1167"/>
      <c r="Z63" s="1167"/>
      <c r="AA63" s="1639"/>
      <c r="AB63" s="573"/>
      <c r="AC63" s="573"/>
      <c r="AD63" s="573"/>
      <c r="AE63" s="573"/>
      <c r="AF63" s="1648">
        <v>11</v>
      </c>
    </row>
    <row s="1648" customFormat="1" customHeight="1" ht="11.549999999999999">
      <c r="A64" s="994"/>
      <c r="B64" s="1643"/>
      <c r="C64" s="1643"/>
      <c r="D64" s="358"/>
      <c r="K64" s="1167"/>
      <c r="L64" s="1643"/>
      <c r="M64" s="1643"/>
      <c r="N64" s="1167"/>
      <c r="O64" s="1167"/>
      <c r="P64" s="1167"/>
      <c r="Q64" s="1167"/>
      <c r="R64" s="1643"/>
      <c r="S64" s="1167"/>
      <c r="T64" s="1167"/>
      <c r="U64" s="551"/>
      <c r="V64" s="1167"/>
      <c r="W64" s="1167"/>
      <c r="X64" s="1167"/>
      <c r="Y64" s="1167"/>
      <c r="Z64" s="1167"/>
      <c r="AA64" s="1639"/>
      <c r="AB64" s="573"/>
      <c r="AC64" s="573"/>
      <c r="AD64" s="573"/>
      <c r="AE64" s="573"/>
      <c r="AF64" s="1648">
        <v>11</v>
      </c>
    </row>
    <row s="1648" customFormat="1" customHeight="1" ht="11.549999999999999">
      <c r="A65" s="994"/>
      <c r="B65" s="1643"/>
      <c r="C65" s="1643"/>
      <c r="D65" s="358"/>
      <c r="K65" s="1167"/>
      <c r="L65" s="1643"/>
      <c r="M65" s="1643"/>
      <c r="N65" s="1167"/>
      <c r="O65" s="1167"/>
      <c r="P65" s="1167"/>
      <c r="Q65" s="1167"/>
      <c r="R65" s="1643"/>
      <c r="S65" s="1167"/>
      <c r="T65" s="1167"/>
      <c r="U65" s="551"/>
      <c r="V65" s="1167"/>
      <c r="W65" s="1167"/>
      <c r="X65" s="1167"/>
      <c r="Y65" s="1167"/>
      <c r="Z65" s="1167"/>
      <c r="AA65" s="1639"/>
      <c r="AB65" s="573"/>
      <c r="AC65" s="573"/>
      <c r="AD65" s="573"/>
      <c r="AE65" s="573"/>
      <c r="AF65" s="1648">
        <v>11</v>
      </c>
    </row>
    <row s="1648" customFormat="1" customHeight="1" ht="11.549999999999999">
      <c r="A66" s="994"/>
      <c r="B66" s="1643"/>
      <c r="C66" s="1643"/>
      <c r="D66" s="358"/>
      <c r="K66" s="1167"/>
      <c r="L66" s="1643"/>
      <c r="M66" s="1643"/>
      <c r="N66" s="1167"/>
      <c r="O66" s="1167"/>
      <c r="P66" s="1167"/>
      <c r="Q66" s="1167"/>
      <c r="R66" s="1643"/>
      <c r="S66" s="1167"/>
      <c r="T66" s="1167"/>
      <c r="U66" s="551"/>
      <c r="V66" s="1167"/>
      <c r="W66" s="1167"/>
      <c r="X66" s="1167"/>
      <c r="Y66" s="1167"/>
      <c r="Z66" s="1167"/>
      <c r="AA66" s="1639"/>
      <c r="AB66" s="573"/>
      <c r="AC66" s="573"/>
      <c r="AD66" s="573"/>
      <c r="AE66" s="573"/>
      <c r="AF66" s="1648">
        <v>11</v>
      </c>
    </row>
    <row s="1648" customFormat="1" customHeight="1" ht="11.549999999999999">
      <c r="A67" s="994"/>
      <c r="B67" s="1643"/>
      <c r="C67" s="1643"/>
      <c r="D67" s="358"/>
      <c r="K67" s="1167"/>
      <c r="L67" s="1643"/>
      <c r="M67" s="1643"/>
      <c r="N67" s="1167"/>
      <c r="O67" s="1167"/>
      <c r="P67" s="1167"/>
      <c r="Q67" s="1167"/>
      <c r="R67" s="1643"/>
      <c r="S67" s="1167"/>
      <c r="T67" s="1167"/>
      <c r="U67" s="551"/>
      <c r="V67" s="1167"/>
      <c r="W67" s="1167"/>
      <c r="X67" s="1167"/>
      <c r="Y67" s="1167"/>
      <c r="Z67" s="1167"/>
      <c r="AA67" s="1639"/>
      <c r="AB67" s="573"/>
      <c r="AC67" s="573"/>
      <c r="AD67" s="573"/>
      <c r="AE67" s="573"/>
      <c r="AF67" s="1648">
        <v>11</v>
      </c>
    </row>
    <row s="1648" customFormat="1" customHeight="1" ht="11.549999999999999">
      <c r="A68" s="994"/>
      <c r="B68" s="1643"/>
      <c r="C68" s="1643"/>
      <c r="D68" s="358"/>
      <c r="K68" s="1167"/>
      <c r="L68" s="1643"/>
      <c r="M68" s="1643"/>
      <c r="N68" s="1167"/>
      <c r="O68" s="1167"/>
      <c r="P68" s="1167"/>
      <c r="Q68" s="1167"/>
      <c r="R68" s="1643"/>
      <c r="S68" s="1167"/>
      <c r="T68" s="1167"/>
      <c r="U68" s="551"/>
      <c r="V68" s="1167"/>
      <c r="W68" s="1167"/>
      <c r="X68" s="1167"/>
      <c r="Y68" s="1167"/>
      <c r="Z68" s="1167"/>
      <c r="AA68" s="1639"/>
      <c r="AB68" s="573"/>
      <c r="AC68" s="573"/>
      <c r="AD68" s="573"/>
      <c r="AE68" s="573"/>
      <c r="AF68" s="1648">
        <v>11</v>
      </c>
    </row>
    <row s="1648" customFormat="1" customHeight="1" ht="11.549999999999999">
      <c r="A69" s="994"/>
      <c r="B69" s="1643"/>
      <c r="C69" s="1643"/>
      <c r="D69" s="358"/>
      <c r="K69" s="1167"/>
      <c r="L69" s="1643"/>
      <c r="M69" s="1643"/>
      <c r="N69" s="1167"/>
      <c r="O69" s="1167"/>
      <c r="P69" s="1167"/>
      <c r="Q69" s="1167"/>
      <c r="R69" s="1643"/>
      <c r="S69" s="1167"/>
      <c r="T69" s="1167"/>
      <c r="U69" s="551"/>
      <c r="V69" s="1167"/>
      <c r="W69" s="1167"/>
      <c r="X69" s="1167"/>
      <c r="Y69" s="1167"/>
      <c r="Z69" s="1167"/>
      <c r="AA69" s="1639"/>
      <c r="AB69" s="573"/>
      <c r="AC69" s="573"/>
      <c r="AD69" s="573"/>
      <c r="AE69" s="573"/>
      <c r="AF69" s="1648">
        <v>11</v>
      </c>
    </row>
    <row s="1648" customFormat="1" customHeight="1" ht="11.549999999999999">
      <c r="A70" s="994"/>
      <c r="B70" s="1643"/>
      <c r="C70" s="1643"/>
      <c r="D70" s="358"/>
      <c r="K70" s="1167"/>
      <c r="L70" s="1643"/>
      <c r="M70" s="1643"/>
      <c r="N70" s="1167"/>
      <c r="O70" s="1167"/>
      <c r="P70" s="1167"/>
      <c r="Q70" s="1167"/>
      <c r="R70" s="1643"/>
      <c r="S70" s="1167"/>
      <c r="T70" s="1167"/>
      <c r="U70" s="551"/>
      <c r="V70" s="1167"/>
      <c r="W70" s="1167"/>
      <c r="X70" s="1167"/>
      <c r="Y70" s="1167"/>
      <c r="Z70" s="1167"/>
      <c r="AA70" s="1639"/>
      <c r="AB70" s="573"/>
      <c r="AC70" s="573"/>
      <c r="AD70" s="573"/>
      <c r="AE70" s="573"/>
      <c r="AF70" s="1648">
        <v>11</v>
      </c>
    </row>
    <row s="1648" customFormat="1" customHeight="1" ht="11.549999999999999">
      <c r="A71" s="994"/>
      <c r="B71" s="1643"/>
      <c r="C71" s="1643"/>
      <c r="D71" s="358"/>
      <c r="K71" s="1167"/>
      <c r="L71" s="1643"/>
      <c r="M71" s="1643"/>
      <c r="N71" s="1167"/>
      <c r="O71" s="1167"/>
      <c r="P71" s="1167"/>
      <c r="Q71" s="1167"/>
      <c r="R71" s="1643"/>
      <c r="S71" s="1167"/>
      <c r="T71" s="1167"/>
      <c r="U71" s="551"/>
      <c r="V71" s="1167"/>
      <c r="W71" s="1167"/>
      <c r="X71" s="1167"/>
      <c r="Y71" s="1167"/>
      <c r="Z71" s="1167"/>
      <c r="AA71" s="1639"/>
      <c r="AB71" s="573"/>
      <c r="AC71" s="573"/>
      <c r="AD71" s="573"/>
      <c r="AE71" s="573"/>
      <c r="AF71" s="1648">
        <v>11</v>
      </c>
    </row>
    <row s="1648" customFormat="1" customHeight="1" ht="11.549999999999999">
      <c r="A72" s="994"/>
      <c r="B72" s="1643"/>
      <c r="C72" s="1643"/>
      <c r="D72" s="358"/>
      <c r="K72" s="1167"/>
      <c r="L72" s="1643"/>
      <c r="M72" s="1643"/>
      <c r="N72" s="1167"/>
      <c r="O72" s="1167"/>
      <c r="P72" s="1167"/>
      <c r="Q72" s="1167"/>
      <c r="R72" s="1643"/>
      <c r="S72" s="1167"/>
      <c r="T72" s="1167"/>
      <c r="U72" s="551"/>
      <c r="V72" s="1167"/>
      <c r="W72" s="1167"/>
      <c r="X72" s="1167"/>
      <c r="Y72" s="1167"/>
      <c r="Z72" s="1167"/>
      <c r="AA72" s="1639"/>
      <c r="AB72" s="573"/>
      <c r="AC72" s="573"/>
      <c r="AD72" s="573"/>
      <c r="AE72" s="573"/>
      <c r="AF72" s="1648">
        <v>11</v>
      </c>
    </row>
    <row s="1648" customFormat="1" customHeight="1" ht="11.549999999999999">
      <c r="A73" s="994"/>
      <c r="B73" s="1643"/>
      <c r="C73" s="1643"/>
      <c r="D73" s="358"/>
      <c r="K73" s="1167"/>
      <c r="L73" s="1643"/>
      <c r="M73" s="1643"/>
      <c r="N73" s="1167"/>
      <c r="O73" s="1167"/>
      <c r="P73" s="1167"/>
      <c r="Q73" s="1167"/>
      <c r="R73" s="1643"/>
      <c r="S73" s="1167"/>
      <c r="T73" s="1167"/>
      <c r="U73" s="551"/>
      <c r="V73" s="1167"/>
      <c r="W73" s="1167"/>
      <c r="X73" s="1167"/>
      <c r="Y73" s="1167"/>
      <c r="Z73" s="1167"/>
      <c r="AA73" s="1639"/>
      <c r="AB73" s="573"/>
      <c r="AC73" s="573"/>
      <c r="AD73" s="573"/>
      <c r="AE73" s="573"/>
      <c r="AF73" s="1648">
        <v>11</v>
      </c>
    </row>
    <row s="1648" customFormat="1" customHeight="1" ht="11.549999999999999">
      <c r="A74" s="994"/>
      <c r="B74" s="1643"/>
      <c r="C74" s="1643"/>
      <c r="D74" s="358"/>
      <c r="K74" s="1167"/>
      <c r="L74" s="1643"/>
      <c r="M74" s="1643"/>
      <c r="N74" s="1167"/>
      <c r="O74" s="1167"/>
      <c r="P74" s="1167"/>
      <c r="Q74" s="1167"/>
      <c r="R74" s="1643"/>
      <c r="S74" s="1167"/>
      <c r="T74" s="1167"/>
      <c r="U74" s="551"/>
      <c r="V74" s="1167"/>
      <c r="W74" s="1167"/>
      <c r="X74" s="1167"/>
      <c r="Y74" s="1167"/>
      <c r="Z74" s="1167"/>
      <c r="AA74" s="1639"/>
      <c r="AB74" s="573"/>
      <c r="AC74" s="573"/>
      <c r="AD74" s="573"/>
      <c r="AE74" s="573"/>
      <c r="AF74" s="1648">
        <v>11</v>
      </c>
    </row>
    <row s="1648" customFormat="1" customHeight="1" ht="11.549999999999999">
      <c r="A75" s="994"/>
      <c r="B75" s="1643"/>
      <c r="C75" s="1643"/>
      <c r="D75" s="358"/>
      <c r="K75" s="1167"/>
      <c r="L75" s="1643"/>
      <c r="M75" s="1643"/>
      <c r="N75" s="1167"/>
      <c r="O75" s="1167"/>
      <c r="P75" s="1167"/>
      <c r="Q75" s="1167"/>
      <c r="R75" s="1643"/>
      <c r="S75" s="1167"/>
      <c r="T75" s="1167"/>
      <c r="U75" s="551"/>
      <c r="V75" s="1167"/>
      <c r="W75" s="1167"/>
      <c r="X75" s="1167"/>
      <c r="Y75" s="1167"/>
      <c r="Z75" s="1167"/>
      <c r="AA75" s="1639"/>
      <c r="AB75" s="573"/>
      <c r="AC75" s="573"/>
      <c r="AD75" s="573"/>
      <c r="AE75" s="573"/>
      <c r="AF75" s="1648">
        <v>11</v>
      </c>
    </row>
    <row s="1648" customFormat="1" customHeight="1" ht="11.549999999999999">
      <c r="A76" s="994"/>
      <c r="B76" s="1643"/>
      <c r="C76" s="1643"/>
      <c r="D76" s="358"/>
      <c r="K76" s="1167"/>
      <c r="L76" s="1643"/>
      <c r="M76" s="1643"/>
      <c r="N76" s="1167"/>
      <c r="O76" s="1167"/>
      <c r="P76" s="1167"/>
      <c r="Q76" s="1167"/>
      <c r="R76" s="1643"/>
      <c r="S76" s="1167"/>
      <c r="T76" s="1167"/>
      <c r="U76" s="551"/>
      <c r="V76" s="1167"/>
      <c r="W76" s="1167"/>
      <c r="X76" s="1167"/>
      <c r="Y76" s="1167"/>
      <c r="Z76" s="1167"/>
      <c r="AA76" s="1639"/>
      <c r="AB76" s="573"/>
      <c r="AC76" s="573"/>
      <c r="AD76" s="573"/>
      <c r="AE76" s="573"/>
      <c r="AF76" s="1648">
        <v>11</v>
      </c>
    </row>
    <row s="1648" customFormat="1" customHeight="1" ht="11.549999999999999">
      <c r="A77" s="994"/>
      <c r="B77" s="1643"/>
      <c r="C77" s="1643"/>
      <c r="D77" s="358"/>
      <c r="K77" s="1167"/>
      <c r="L77" s="1643"/>
      <c r="M77" s="1643"/>
      <c r="N77" s="1167"/>
      <c r="O77" s="1167"/>
      <c r="P77" s="1167"/>
      <c r="Q77" s="1167"/>
      <c r="R77" s="1643"/>
      <c r="S77" s="1167"/>
      <c r="T77" s="1167"/>
      <c r="U77" s="551"/>
      <c r="V77" s="1167"/>
      <c r="W77" s="1167"/>
      <c r="X77" s="1167"/>
      <c r="Y77" s="1167"/>
      <c r="Z77" s="1167"/>
      <c r="AA77" s="1639"/>
      <c r="AB77" s="573"/>
      <c r="AC77" s="573"/>
      <c r="AD77" s="573"/>
      <c r="AE77" s="573"/>
      <c r="AF77" s="1648">
        <v>11</v>
      </c>
    </row>
    <row s="1648" customFormat="1" customHeight="1" ht="11.549999999999999">
      <c r="A78" s="994"/>
      <c r="B78" s="1643"/>
      <c r="C78" s="1643"/>
      <c r="D78" s="358"/>
      <c r="K78" s="1167"/>
      <c r="L78" s="1643"/>
      <c r="M78" s="1643"/>
      <c r="N78" s="1167"/>
      <c r="O78" s="1167"/>
      <c r="P78" s="1167"/>
      <c r="Q78" s="1167"/>
      <c r="R78" s="1643"/>
      <c r="S78" s="1167"/>
      <c r="T78" s="1167"/>
      <c r="U78" s="551"/>
      <c r="V78" s="1167"/>
      <c r="W78" s="1167"/>
      <c r="X78" s="1167"/>
      <c r="Y78" s="1167"/>
      <c r="Z78" s="1167"/>
      <c r="AA78" s="1639"/>
      <c r="AB78" s="573"/>
      <c r="AC78" s="573"/>
      <c r="AD78" s="573"/>
      <c r="AE78" s="573"/>
      <c r="AF78" s="1648">
        <v>11</v>
      </c>
    </row>
    <row s="1648" customFormat="1" customHeight="1" ht="11.549999999999999">
      <c r="A79" s="994"/>
      <c r="B79" s="1643"/>
      <c r="C79" s="1643"/>
      <c r="D79" s="358"/>
      <c r="K79" s="1167"/>
      <c r="L79" s="1643"/>
      <c r="M79" s="1643"/>
      <c r="N79" s="1167"/>
      <c r="O79" s="1167"/>
      <c r="P79" s="1167"/>
      <c r="Q79" s="1167"/>
      <c r="R79" s="1643"/>
      <c r="S79" s="1167"/>
      <c r="T79" s="1167"/>
      <c r="U79" s="551"/>
      <c r="V79" s="1167"/>
      <c r="W79" s="1167"/>
      <c r="X79" s="1167"/>
      <c r="Y79" s="1167"/>
      <c r="Z79" s="1167"/>
      <c r="AA79" s="1639"/>
      <c r="AB79" s="573"/>
      <c r="AC79" s="573"/>
      <c r="AD79" s="573"/>
      <c r="AE79" s="573"/>
      <c r="AF79" s="1648">
        <v>11</v>
      </c>
    </row>
    <row s="1648" customFormat="1" customHeight="1" ht="11.549999999999999">
      <c r="A80" s="994"/>
      <c r="B80" s="1643"/>
      <c r="C80" s="1643"/>
      <c r="D80" s="358"/>
      <c r="K80" s="1167"/>
      <c r="L80" s="1643"/>
      <c r="M80" s="1643"/>
      <c r="N80" s="1167"/>
      <c r="O80" s="1167"/>
      <c r="P80" s="1167"/>
      <c r="Q80" s="1167"/>
      <c r="R80" s="1643"/>
      <c r="S80" s="1167"/>
      <c r="T80" s="1167"/>
      <c r="U80" s="551"/>
      <c r="V80" s="1167"/>
      <c r="W80" s="1167"/>
      <c r="X80" s="1167"/>
      <c r="Y80" s="1167"/>
      <c r="Z80" s="1167"/>
      <c r="AA80" s="1639"/>
      <c r="AB80" s="573"/>
      <c r="AC80" s="573"/>
      <c r="AD80" s="573"/>
      <c r="AE80" s="573"/>
      <c r="AF80" s="1648">
        <v>11</v>
      </c>
    </row>
    <row s="1648" customFormat="1" customHeight="1" ht="11.549999999999999">
      <c r="A81" s="994"/>
      <c r="B81" s="1643"/>
      <c r="C81" s="1643"/>
      <c r="D81" s="358"/>
      <c r="K81" s="1167"/>
      <c r="L81" s="1643"/>
      <c r="M81" s="1643"/>
      <c r="N81" s="1167"/>
      <c r="O81" s="1167"/>
      <c r="P81" s="1167"/>
      <c r="Q81" s="1167"/>
      <c r="R81" s="1643"/>
      <c r="S81" s="1167"/>
      <c r="T81" s="1167"/>
      <c r="U81" s="551"/>
      <c r="V81" s="1167"/>
      <c r="W81" s="1167"/>
      <c r="X81" s="1167"/>
      <c r="Y81" s="1167"/>
      <c r="Z81" s="1167"/>
      <c r="AA81" s="1639"/>
      <c r="AB81" s="573"/>
      <c r="AC81" s="573"/>
      <c r="AD81" s="573"/>
      <c r="AE81" s="573"/>
      <c r="AF81" s="1648">
        <v>11</v>
      </c>
    </row>
    <row s="1648" customFormat="1" customHeight="1" ht="11.549999999999999">
      <c r="A82" s="994"/>
      <c r="B82" s="1643"/>
      <c r="C82" s="1643"/>
      <c r="D82" s="358"/>
      <c r="K82" s="1167"/>
      <c r="L82" s="1643"/>
      <c r="M82" s="1643"/>
      <c r="N82" s="1167"/>
      <c r="O82" s="1167"/>
      <c r="P82" s="1167"/>
      <c r="Q82" s="1167"/>
      <c r="R82" s="1643"/>
      <c r="S82" s="1167"/>
      <c r="T82" s="1167"/>
      <c r="U82" s="551"/>
      <c r="V82" s="1167"/>
      <c r="W82" s="1167"/>
      <c r="X82" s="1167"/>
      <c r="Y82" s="1167"/>
      <c r="Z82" s="1167"/>
      <c r="AA82" s="1639"/>
      <c r="AB82" s="573"/>
      <c r="AC82" s="573"/>
      <c r="AD82" s="573"/>
      <c r="AE82" s="573"/>
      <c r="AF82" s="1648">
        <v>11</v>
      </c>
    </row>
    <row s="1648" customFormat="1" customHeight="1" ht="11.549999999999999">
      <c r="A83" s="994"/>
      <c r="B83" s="1643"/>
      <c r="C83" s="1643"/>
      <c r="D83" s="358"/>
      <c r="K83" s="1167"/>
      <c r="L83" s="1643"/>
      <c r="M83" s="1643"/>
      <c r="N83" s="1167"/>
      <c r="O83" s="1167"/>
      <c r="P83" s="1167"/>
      <c r="Q83" s="1167"/>
      <c r="R83" s="1643"/>
      <c r="S83" s="1167"/>
      <c r="T83" s="1167"/>
      <c r="U83" s="551"/>
      <c r="V83" s="1167"/>
      <c r="W83" s="1167"/>
      <c r="X83" s="1167"/>
      <c r="Y83" s="1167"/>
      <c r="Z83" s="1167"/>
      <c r="AA83" s="1639"/>
      <c r="AB83" s="573"/>
      <c r="AC83" s="573"/>
      <c r="AD83" s="573"/>
      <c r="AE83" s="573"/>
      <c r="AF83" s="1648">
        <v>11</v>
      </c>
    </row>
    <row s="1648" customFormat="1" customHeight="1" ht="11.549999999999999">
      <c r="A84" s="994"/>
      <c r="B84" s="1643"/>
      <c r="C84" s="1643"/>
      <c r="D84" s="358"/>
      <c r="K84" s="1167"/>
      <c r="L84" s="1643"/>
      <c r="M84" s="1643"/>
      <c r="N84" s="1167"/>
      <c r="O84" s="1167"/>
      <c r="P84" s="1167"/>
      <c r="Q84" s="1167"/>
      <c r="R84" s="1643"/>
      <c r="S84" s="1167"/>
      <c r="T84" s="1167"/>
      <c r="U84" s="551"/>
      <c r="V84" s="1167"/>
      <c r="W84" s="1167"/>
      <c r="X84" s="1167"/>
      <c r="Y84" s="1167"/>
      <c r="Z84" s="1167"/>
      <c r="AA84" s="1639"/>
      <c r="AB84" s="573"/>
      <c r="AC84" s="573"/>
      <c r="AD84" s="573"/>
      <c r="AE84" s="573"/>
      <c r="AF84" s="1648">
        <v>11</v>
      </c>
    </row>
    <row s="1648" customFormat="1" customHeight="1" ht="11.549999999999999">
      <c r="A85" s="994"/>
      <c r="B85" s="1643"/>
      <c r="C85" s="1643"/>
      <c r="D85" s="358"/>
      <c r="K85" s="1167"/>
      <c r="L85" s="1643"/>
      <c r="M85" s="1643"/>
      <c r="N85" s="1167"/>
      <c r="O85" s="1167"/>
      <c r="P85" s="1167"/>
      <c r="Q85" s="1167"/>
      <c r="R85" s="1643"/>
      <c r="S85" s="1167"/>
      <c r="T85" s="1167"/>
      <c r="U85" s="551"/>
      <c r="V85" s="1167"/>
      <c r="W85" s="1167"/>
      <c r="X85" s="1167"/>
      <c r="Y85" s="1167"/>
      <c r="Z85" s="1167"/>
      <c r="AA85" s="1639"/>
      <c r="AB85" s="573"/>
      <c r="AC85" s="573"/>
      <c r="AD85" s="573"/>
      <c r="AE85" s="573"/>
      <c r="AF85" s="1648">
        <v>11</v>
      </c>
    </row>
    <row s="1648" customFormat="1" customHeight="1" ht="11.549999999999999">
      <c r="A86" s="994"/>
      <c r="B86" s="1643"/>
      <c r="C86" s="1643"/>
      <c r="D86" s="358"/>
      <c r="K86" s="1167"/>
      <c r="L86" s="1643"/>
      <c r="M86" s="1643"/>
      <c r="N86" s="1167"/>
      <c r="O86" s="1167"/>
      <c r="P86" s="1167"/>
      <c r="Q86" s="1167"/>
      <c r="R86" s="1643"/>
      <c r="S86" s="1167"/>
      <c r="T86" s="1167"/>
      <c r="U86" s="551"/>
      <c r="V86" s="1167"/>
      <c r="W86" s="1167"/>
      <c r="X86" s="1167"/>
      <c r="Y86" s="1167"/>
      <c r="Z86" s="1167"/>
      <c r="AA86" s="1639"/>
      <c r="AB86" s="573"/>
      <c r="AC86" s="573"/>
      <c r="AD86" s="573"/>
      <c r="AE86" s="573"/>
      <c r="AF86" s="1648">
        <v>11</v>
      </c>
    </row>
    <row s="1648" customFormat="1" customHeight="1" ht="11.549999999999999">
      <c r="A87" s="994"/>
      <c r="B87" s="1643"/>
      <c r="C87" s="1643"/>
      <c r="D87" s="358"/>
      <c r="K87" s="1167"/>
      <c r="L87" s="1643"/>
      <c r="M87" s="1643"/>
      <c r="N87" s="1167"/>
      <c r="O87" s="1167"/>
      <c r="P87" s="1167"/>
      <c r="Q87" s="1167"/>
      <c r="R87" s="1643"/>
      <c r="S87" s="1167"/>
      <c r="T87" s="1167"/>
      <c r="U87" s="551"/>
      <c r="V87" s="1167"/>
      <c r="W87" s="1167"/>
      <c r="X87" s="1167"/>
      <c r="Y87" s="1167"/>
      <c r="Z87" s="1167"/>
      <c r="AA87" s="1639"/>
      <c r="AB87" s="573"/>
      <c r="AC87" s="573"/>
      <c r="AD87" s="573"/>
      <c r="AE87" s="573"/>
      <c r="AF87" s="1648">
        <v>11</v>
      </c>
    </row>
    <row s="1648" customFormat="1" customHeight="1" ht="11.549999999999999">
      <c r="A88" s="994"/>
      <c r="B88" s="1643"/>
      <c r="C88" s="1643"/>
      <c r="D88" s="358"/>
      <c r="K88" s="1167"/>
      <c r="L88" s="1643"/>
      <c r="M88" s="1643"/>
      <c r="N88" s="1167"/>
      <c r="O88" s="1167"/>
      <c r="P88" s="1167"/>
      <c r="Q88" s="1167"/>
      <c r="R88" s="1643"/>
      <c r="S88" s="1167"/>
      <c r="T88" s="1167"/>
      <c r="U88" s="551"/>
      <c r="V88" s="1167"/>
      <c r="W88" s="1167"/>
      <c r="X88" s="1167"/>
      <c r="Y88" s="1167"/>
      <c r="Z88" s="1167"/>
      <c r="AA88" s="1639"/>
      <c r="AB88" s="573"/>
      <c r="AC88" s="573"/>
      <c r="AD88" s="573"/>
      <c r="AE88" s="573"/>
      <c r="AF88" s="1648">
        <v>11</v>
      </c>
    </row>
    <row s="1648" customFormat="1" customHeight="1" ht="11.549999999999999">
      <c r="A89" s="994"/>
      <c r="B89" s="1643"/>
      <c r="C89" s="1643"/>
      <c r="D89" s="358"/>
      <c r="K89" s="1167"/>
      <c r="L89" s="1643"/>
      <c r="M89" s="1643"/>
      <c r="N89" s="1167"/>
      <c r="O89" s="1167"/>
      <c r="P89" s="1167"/>
      <c r="Q89" s="1167"/>
      <c r="R89" s="1643"/>
      <c r="S89" s="1167"/>
      <c r="T89" s="1167"/>
      <c r="U89" s="551"/>
      <c r="V89" s="1167"/>
      <c r="W89" s="1167"/>
      <c r="X89" s="1167"/>
      <c r="Y89" s="1167"/>
      <c r="Z89" s="1167"/>
      <c r="AA89" s="1639"/>
      <c r="AB89" s="573"/>
      <c r="AC89" s="573"/>
      <c r="AD89" s="573"/>
      <c r="AE89" s="573"/>
      <c r="AF89" s="1648">
        <v>11</v>
      </c>
    </row>
    <row s="1648" customFormat="1" customHeight="1" ht="11.549999999999999">
      <c r="A90" s="994"/>
      <c r="B90" s="1643"/>
      <c r="C90" s="1643"/>
      <c r="D90" s="358"/>
      <c r="K90" s="1167"/>
      <c r="L90" s="1643"/>
      <c r="M90" s="1643"/>
      <c r="N90" s="1167"/>
      <c r="O90" s="1167"/>
      <c r="P90" s="1167"/>
      <c r="Q90" s="1167"/>
      <c r="R90" s="1643"/>
      <c r="S90" s="1167"/>
      <c r="T90" s="1167"/>
      <c r="U90" s="551"/>
      <c r="V90" s="1167"/>
      <c r="W90" s="1167"/>
      <c r="X90" s="1167"/>
      <c r="Y90" s="1167"/>
      <c r="Z90" s="1167"/>
      <c r="AA90" s="1639"/>
      <c r="AB90" s="573"/>
      <c r="AC90" s="573"/>
      <c r="AD90" s="573"/>
      <c r="AE90" s="573"/>
      <c r="AF90" s="1648">
        <v>11</v>
      </c>
    </row>
    <row s="1648" customFormat="1" customHeight="1" ht="11.549999999999999">
      <c r="A91" s="994"/>
      <c r="B91" s="1643"/>
      <c r="C91" s="1643"/>
      <c r="D91" s="358"/>
      <c r="K91" s="1167"/>
      <c r="L91" s="1643"/>
      <c r="M91" s="1643"/>
      <c r="N91" s="1167"/>
      <c r="O91" s="1167"/>
      <c r="P91" s="1167"/>
      <c r="Q91" s="1167"/>
      <c r="R91" s="1643"/>
      <c r="S91" s="1167"/>
      <c r="T91" s="1167"/>
      <c r="U91" s="551"/>
      <c r="V91" s="1167"/>
      <c r="W91" s="1167"/>
      <c r="X91" s="1167"/>
      <c r="Y91" s="1167"/>
      <c r="Z91" s="1167"/>
      <c r="AA91" s="1639"/>
      <c r="AB91" s="573"/>
      <c r="AC91" s="573"/>
      <c r="AD91" s="573"/>
      <c r="AE91" s="573"/>
      <c r="AF91" s="1648">
        <v>11</v>
      </c>
    </row>
    <row s="1648" customFormat="1" customHeight="1" ht="11.549999999999999">
      <c r="A92" s="994"/>
      <c r="B92" s="1643"/>
      <c r="C92" s="1643"/>
      <c r="D92" s="358"/>
      <c r="K92" s="1167"/>
      <c r="L92" s="1643"/>
      <c r="M92" s="1643"/>
      <c r="N92" s="1167"/>
      <c r="O92" s="1167"/>
      <c r="P92" s="1167"/>
      <c r="Q92" s="1167"/>
      <c r="R92" s="1643"/>
      <c r="S92" s="1167"/>
      <c r="T92" s="1167"/>
      <c r="U92" s="551"/>
      <c r="V92" s="1167"/>
      <c r="W92" s="1167"/>
      <c r="X92" s="1167"/>
      <c r="Y92" s="1167"/>
      <c r="Z92" s="1167"/>
      <c r="AA92" s="1639"/>
      <c r="AB92" s="573"/>
      <c r="AC92" s="573"/>
      <c r="AD92" s="573"/>
      <c r="AE92" s="573"/>
      <c r="AF92" s="1648">
        <v>11</v>
      </c>
    </row>
    <row s="1648" customFormat="1" customHeight="1" ht="11.549999999999999">
      <c r="A93" s="994"/>
      <c r="B93" s="1643"/>
      <c r="C93" s="1643"/>
      <c r="D93" s="358"/>
      <c r="K93" s="1167"/>
      <c r="L93" s="1643"/>
      <c r="M93" s="1643"/>
      <c r="N93" s="1167"/>
      <c r="O93" s="1167"/>
      <c r="P93" s="1167"/>
      <c r="Q93" s="1167"/>
      <c r="R93" s="1643"/>
      <c r="S93" s="1167"/>
      <c r="T93" s="1167"/>
      <c r="U93" s="551"/>
      <c r="V93" s="1167"/>
      <c r="W93" s="1167"/>
      <c r="X93" s="1167"/>
      <c r="Y93" s="1167"/>
      <c r="Z93" s="1167"/>
      <c r="AA93" s="1639"/>
      <c r="AB93" s="573"/>
      <c r="AC93" s="573"/>
      <c r="AD93" s="573"/>
      <c r="AE93" s="573"/>
      <c r="AF93" s="1648">
        <v>11</v>
      </c>
    </row>
    <row s="1648" customFormat="1" customHeight="1" ht="11.549999999999999">
      <c r="A94" s="994"/>
      <c r="B94" s="1643"/>
      <c r="C94" s="1643"/>
      <c r="D94" s="358"/>
      <c r="K94" s="1167"/>
      <c r="L94" s="1643"/>
      <c r="M94" s="1643"/>
      <c r="N94" s="1167"/>
      <c r="O94" s="1167"/>
      <c r="P94" s="1167"/>
      <c r="Q94" s="1167"/>
      <c r="R94" s="1643"/>
      <c r="S94" s="1167"/>
      <c r="T94" s="1167"/>
      <c r="U94" s="551"/>
      <c r="V94" s="1167"/>
      <c r="W94" s="1167"/>
      <c r="X94" s="1167"/>
      <c r="Y94" s="1167"/>
      <c r="Z94" s="1167"/>
      <c r="AA94" s="1639"/>
      <c r="AB94" s="573"/>
      <c r="AC94" s="573"/>
      <c r="AD94" s="573"/>
      <c r="AE94" s="573"/>
      <c r="AF94" s="1648">
        <v>11</v>
      </c>
    </row>
    <row s="1648" customFormat="1" customHeight="1" ht="11.549999999999999">
      <c r="A95" s="994"/>
      <c r="B95" s="1643"/>
      <c r="C95" s="1643"/>
      <c r="D95" s="358"/>
      <c r="K95" s="1167"/>
      <c r="L95" s="1643"/>
      <c r="M95" s="1643"/>
      <c r="N95" s="1167"/>
      <c r="O95" s="1167"/>
      <c r="P95" s="1167"/>
      <c r="Q95" s="1167"/>
      <c r="R95" s="1643"/>
      <c r="S95" s="1167"/>
      <c r="T95" s="1167"/>
      <c r="U95" s="551"/>
      <c r="V95" s="1167"/>
      <c r="W95" s="1167"/>
      <c r="X95" s="1167"/>
      <c r="Y95" s="1167"/>
      <c r="Z95" s="1167"/>
      <c r="AA95" s="1639"/>
      <c r="AB95" s="573"/>
      <c r="AC95" s="573"/>
      <c r="AD95" s="573"/>
      <c r="AE95" s="573"/>
      <c r="AF95" s="1648">
        <v>11</v>
      </c>
    </row>
    <row s="1648" customFormat="1" customHeight="1" ht="11.549999999999999">
      <c r="A96" s="994"/>
      <c r="B96" s="1643"/>
      <c r="C96" s="1643"/>
      <c r="D96" s="358"/>
      <c r="K96" s="1167"/>
      <c r="L96" s="1643"/>
      <c r="M96" s="1643"/>
      <c r="N96" s="1167"/>
      <c r="O96" s="1167"/>
      <c r="P96" s="1167"/>
      <c r="Q96" s="1167"/>
      <c r="R96" s="1643"/>
      <c r="S96" s="1167"/>
      <c r="T96" s="1167"/>
      <c r="U96" s="551"/>
      <c r="V96" s="1167"/>
      <c r="W96" s="1167"/>
      <c r="X96" s="1167"/>
      <c r="Y96" s="1167"/>
      <c r="Z96" s="1167"/>
      <c r="AA96" s="1639"/>
      <c r="AB96" s="573"/>
      <c r="AC96" s="573"/>
      <c r="AD96" s="573"/>
      <c r="AE96" s="573"/>
      <c r="AF96" s="1648">
        <v>11</v>
      </c>
    </row>
    <row s="1648" customFormat="1" customHeight="1" ht="11.549999999999999">
      <c r="A97" s="994"/>
      <c r="B97" s="1643"/>
      <c r="C97" s="1643"/>
      <c r="D97" s="358"/>
      <c r="K97" s="1167"/>
      <c r="L97" s="1643"/>
      <c r="M97" s="1643"/>
      <c r="N97" s="1167"/>
      <c r="O97" s="1167"/>
      <c r="P97" s="1167"/>
      <c r="Q97" s="1167"/>
      <c r="R97" s="1643"/>
      <c r="S97" s="1167"/>
      <c r="T97" s="1167"/>
      <c r="U97" s="551"/>
      <c r="V97" s="1167"/>
      <c r="W97" s="1167"/>
      <c r="X97" s="1167"/>
      <c r="Y97" s="1167"/>
      <c r="Z97" s="1167"/>
      <c r="AA97" s="1639"/>
      <c r="AB97" s="573"/>
      <c r="AC97" s="573"/>
      <c r="AD97" s="573"/>
      <c r="AE97" s="573"/>
      <c r="AF97" s="1648">
        <v>11</v>
      </c>
    </row>
    <row s="1648" customFormat="1" customHeight="1" ht="11.549999999999999">
      <c r="A98" s="994"/>
      <c r="B98" s="1643"/>
      <c r="C98" s="1643"/>
      <c r="D98" s="358"/>
      <c r="K98" s="1167"/>
      <c r="L98" s="1643"/>
      <c r="M98" s="1643"/>
      <c r="N98" s="1167"/>
      <c r="O98" s="1167"/>
      <c r="P98" s="1167"/>
      <c r="Q98" s="1167"/>
      <c r="R98" s="1643"/>
      <c r="S98" s="1167"/>
      <c r="T98" s="1167"/>
      <c r="U98" s="551"/>
      <c r="V98" s="1167"/>
      <c r="W98" s="1167"/>
      <c r="X98" s="1167"/>
      <c r="Y98" s="1167"/>
      <c r="Z98" s="1167"/>
      <c r="AA98" s="1639"/>
      <c r="AB98" s="573"/>
      <c r="AC98" s="573"/>
      <c r="AD98" s="573"/>
      <c r="AE98" s="573"/>
      <c r="AF98" s="1648">
        <v>11</v>
      </c>
    </row>
    <row s="1648" customFormat="1" customHeight="1" ht="11.549999999999999">
      <c r="A99" s="994"/>
      <c r="B99" s="1643"/>
      <c r="C99" s="1643"/>
      <c r="D99" s="358"/>
      <c r="K99" s="1167"/>
      <c r="L99" s="1643"/>
      <c r="M99" s="1643"/>
      <c r="N99" s="1167"/>
      <c r="O99" s="1167"/>
      <c r="P99" s="1167"/>
      <c r="Q99" s="1167"/>
      <c r="R99" s="1643"/>
      <c r="S99" s="1167"/>
      <c r="T99" s="1167"/>
      <c r="U99" s="551"/>
      <c r="V99" s="1167"/>
      <c r="W99" s="1167"/>
      <c r="X99" s="1167"/>
      <c r="Y99" s="1167"/>
      <c r="Z99" s="1167"/>
      <c r="AA99" s="1639"/>
      <c r="AB99" s="573"/>
      <c r="AC99" s="573"/>
      <c r="AD99" s="573"/>
      <c r="AE99" s="573"/>
      <c r="AF99" s="1648">
        <v>11</v>
      </c>
    </row>
    <row s="1648" customFormat="1" customHeight="1" ht="11.549999999999999">
      <c r="A100" s="994"/>
      <c r="B100" s="1643"/>
      <c r="C100" s="1643"/>
      <c r="D100" s="358"/>
      <c r="K100" s="1167"/>
      <c r="L100" s="1643"/>
      <c r="M100" s="1643"/>
      <c r="N100" s="1167"/>
      <c r="O100" s="1167"/>
      <c r="P100" s="1167"/>
      <c r="Q100" s="1167"/>
      <c r="R100" s="1643"/>
      <c r="S100" s="1167"/>
      <c r="T100" s="1167"/>
      <c r="U100" s="551"/>
      <c r="V100" s="1167"/>
      <c r="W100" s="1167"/>
      <c r="X100" s="1167"/>
      <c r="Y100" s="1167"/>
      <c r="Z100" s="1167"/>
      <c r="AA100" s="1639"/>
      <c r="AB100" s="573"/>
      <c r="AC100" s="573"/>
      <c r="AD100" s="573"/>
      <c r="AE100" s="573"/>
      <c r="AF100" s="1648">
        <v>11</v>
      </c>
    </row>
    <row s="1648" customFormat="1" customHeight="1" ht="11.549999999999999">
      <c r="A101" s="994"/>
      <c r="B101" s="1643"/>
      <c r="C101" s="1643"/>
      <c r="D101" s="358"/>
      <c r="K101" s="1167"/>
      <c r="L101" s="1643"/>
      <c r="M101" s="1643"/>
      <c r="N101" s="1167"/>
      <c r="O101" s="1167"/>
      <c r="P101" s="1167"/>
      <c r="Q101" s="1167"/>
      <c r="R101" s="1643"/>
      <c r="S101" s="1167"/>
      <c r="T101" s="1167"/>
      <c r="U101" s="551"/>
      <c r="V101" s="1167"/>
      <c r="W101" s="1167"/>
      <c r="X101" s="1167"/>
      <c r="Y101" s="1167"/>
      <c r="Z101" s="1167"/>
      <c r="AA101" s="1639"/>
      <c r="AB101" s="573"/>
      <c r="AC101" s="573"/>
      <c r="AD101" s="573"/>
      <c r="AE101" s="573"/>
      <c r="AF101" s="1648">
        <v>11</v>
      </c>
    </row>
    <row s="1648" customFormat="1" customHeight="1" ht="11.549999999999999">
      <c r="A102" s="994"/>
      <c r="B102" s="1643"/>
      <c r="C102" s="1643"/>
      <c r="D102" s="358"/>
      <c r="K102" s="1167"/>
      <c r="L102" s="1643"/>
      <c r="M102" s="1643"/>
      <c r="N102" s="1167"/>
      <c r="O102" s="1167"/>
      <c r="P102" s="1167"/>
      <c r="Q102" s="1167"/>
      <c r="R102" s="1643"/>
      <c r="S102" s="1167"/>
      <c r="T102" s="1167"/>
      <c r="U102" s="551"/>
      <c r="V102" s="1167"/>
      <c r="W102" s="1167"/>
      <c r="X102" s="1167"/>
      <c r="Y102" s="1167"/>
      <c r="Z102" s="1167"/>
      <c r="AA102" s="1639"/>
      <c r="AB102" s="573"/>
      <c r="AC102" s="573"/>
      <c r="AD102" s="573"/>
      <c r="AE102" s="573"/>
      <c r="AF102" s="1648">
        <v>11</v>
      </c>
    </row>
    <row s="1648" customFormat="1" customHeight="1" ht="11.549999999999999">
      <c r="A103" s="994"/>
      <c r="B103" s="1643"/>
      <c r="C103" s="1643"/>
      <c r="D103" s="358"/>
      <c r="K103" s="1167"/>
      <c r="L103" s="1643"/>
      <c r="M103" s="1643"/>
      <c r="N103" s="1167"/>
      <c r="O103" s="1167"/>
      <c r="P103" s="1167"/>
      <c r="Q103" s="1167"/>
      <c r="R103" s="1643"/>
      <c r="S103" s="1167"/>
      <c r="T103" s="1167"/>
      <c r="U103" s="551"/>
      <c r="V103" s="1167"/>
      <c r="W103" s="1167"/>
      <c r="X103" s="1167"/>
      <c r="Y103" s="1167"/>
      <c r="Z103" s="1167"/>
      <c r="AA103" s="1639"/>
      <c r="AB103" s="573"/>
      <c r="AC103" s="573"/>
      <c r="AD103" s="573"/>
      <c r="AE103" s="573"/>
      <c r="AF103" s="1648">
        <v>11</v>
      </c>
    </row>
    <row s="1648" customFormat="1" customHeight="1" ht="11.549999999999999">
      <c r="A104" s="994"/>
      <c r="B104" s="1643"/>
      <c r="C104" s="1643"/>
      <c r="D104" s="358"/>
      <c r="K104" s="1167"/>
      <c r="L104" s="1643"/>
      <c r="M104" s="1643"/>
      <c r="N104" s="1167"/>
      <c r="O104" s="1167"/>
      <c r="P104" s="1167"/>
      <c r="Q104" s="1167"/>
      <c r="R104" s="1643"/>
      <c r="S104" s="1167"/>
      <c r="T104" s="1167"/>
      <c r="U104" s="551"/>
      <c r="V104" s="1167"/>
      <c r="W104" s="1167"/>
      <c r="X104" s="1167"/>
      <c r="Y104" s="1167"/>
      <c r="Z104" s="1167"/>
      <c r="AA104" s="1639"/>
      <c r="AB104" s="573"/>
      <c r="AC104" s="573"/>
      <c r="AD104" s="573"/>
      <c r="AE104" s="573"/>
      <c r="AF104" s="1648">
        <v>11</v>
      </c>
    </row>
    <row s="1648" customFormat="1" customHeight="1" ht="11.549999999999999">
      <c r="A105" s="994"/>
      <c r="B105" s="1643"/>
      <c r="C105" s="1643"/>
      <c r="D105" s="358"/>
      <c r="K105" s="1167"/>
      <c r="L105" s="1643"/>
      <c r="M105" s="1643"/>
      <c r="N105" s="1167"/>
      <c r="O105" s="1167"/>
      <c r="P105" s="1167"/>
      <c r="Q105" s="1167"/>
      <c r="R105" s="1643"/>
      <c r="S105" s="1167"/>
      <c r="T105" s="1167"/>
      <c r="U105" s="551"/>
      <c r="V105" s="1167"/>
      <c r="W105" s="1167"/>
      <c r="X105" s="1167"/>
      <c r="Y105" s="1167"/>
      <c r="Z105" s="1167"/>
      <c r="AA105" s="1639"/>
      <c r="AB105" s="573"/>
      <c r="AC105" s="573"/>
      <c r="AD105" s="573"/>
      <c r="AE105" s="573"/>
      <c r="AF105" s="1648">
        <v>11</v>
      </c>
    </row>
    <row s="1648" customFormat="1" customHeight="1" ht="11.549999999999999">
      <c r="A106" s="994"/>
      <c r="B106" s="1643"/>
      <c r="C106" s="1643"/>
      <c r="D106" s="358"/>
      <c r="K106" s="1167"/>
      <c r="L106" s="1643"/>
      <c r="M106" s="1643"/>
      <c r="N106" s="1167"/>
      <c r="O106" s="1167"/>
      <c r="P106" s="1167"/>
      <c r="Q106" s="1167"/>
      <c r="R106" s="1643"/>
      <c r="S106" s="1167"/>
      <c r="T106" s="1167"/>
      <c r="U106" s="551"/>
      <c r="V106" s="1167"/>
      <c r="W106" s="1167"/>
      <c r="X106" s="1167"/>
      <c r="Y106" s="1167"/>
      <c r="Z106" s="1167"/>
      <c r="AA106" s="1639"/>
      <c r="AB106" s="573"/>
      <c r="AC106" s="573"/>
      <c r="AD106" s="573"/>
      <c r="AE106" s="573"/>
      <c r="AF106" s="1648">
        <v>11</v>
      </c>
    </row>
    <row s="1648" customFormat="1" customHeight="1" ht="11.549999999999999">
      <c r="A107" s="994"/>
      <c r="B107" s="1643"/>
      <c r="C107" s="1643"/>
      <c r="D107" s="358"/>
      <c r="K107" s="1167"/>
      <c r="L107" s="1643"/>
      <c r="M107" s="1643"/>
      <c r="N107" s="1167"/>
      <c r="O107" s="1167"/>
      <c r="P107" s="1167"/>
      <c r="Q107" s="1167"/>
      <c r="R107" s="1643"/>
      <c r="S107" s="1167"/>
      <c r="T107" s="1167"/>
      <c r="U107" s="551"/>
      <c r="V107" s="1167"/>
      <c r="W107" s="1167"/>
      <c r="X107" s="1167"/>
      <c r="Y107" s="1167"/>
      <c r="Z107" s="1167"/>
      <c r="AA107" s="1639"/>
      <c r="AB107" s="573"/>
      <c r="AC107" s="573"/>
      <c r="AD107" s="573"/>
      <c r="AE107" s="573"/>
      <c r="AF107" s="1648">
        <v>11</v>
      </c>
    </row>
    <row s="1648" customFormat="1" customHeight="1" ht="11.549999999999999">
      <c r="A108" s="994"/>
      <c r="B108" s="1643"/>
      <c r="C108" s="1643"/>
      <c r="D108" s="358"/>
      <c r="K108" s="1167"/>
      <c r="L108" s="1643"/>
      <c r="M108" s="1643"/>
      <c r="N108" s="1167"/>
      <c r="O108" s="1167"/>
      <c r="P108" s="1167"/>
      <c r="Q108" s="1167"/>
      <c r="R108" s="1643"/>
      <c r="S108" s="1167"/>
      <c r="T108" s="1167"/>
      <c r="U108" s="551"/>
      <c r="V108" s="1167"/>
      <c r="W108" s="1167"/>
      <c r="X108" s="1167"/>
      <c r="Y108" s="1167"/>
      <c r="Z108" s="1167"/>
      <c r="AA108" s="1639"/>
      <c r="AB108" s="573"/>
      <c r="AC108" s="573"/>
      <c r="AD108" s="573"/>
      <c r="AE108" s="573"/>
      <c r="AF108" s="1648">
        <v>11</v>
      </c>
    </row>
    <row s="1648" customFormat="1" customHeight="1" ht="11.549999999999999">
      <c r="A109" s="994"/>
      <c r="B109" s="1643"/>
      <c r="C109" s="1643"/>
      <c r="D109" s="358"/>
      <c r="K109" s="1167"/>
      <c r="L109" s="1643"/>
      <c r="M109" s="1643"/>
      <c r="N109" s="1167"/>
      <c r="O109" s="1167"/>
      <c r="P109" s="1167"/>
      <c r="Q109" s="1167"/>
      <c r="R109" s="1643"/>
      <c r="S109" s="1167"/>
      <c r="T109" s="1167"/>
      <c r="U109" s="551"/>
      <c r="V109" s="1167"/>
      <c r="W109" s="1167"/>
      <c r="X109" s="1167"/>
      <c r="Y109" s="1167"/>
      <c r="Z109" s="1167"/>
      <c r="AA109" s="1639"/>
      <c r="AB109" s="573"/>
      <c r="AC109" s="573"/>
      <c r="AD109" s="573"/>
      <c r="AE109" s="573"/>
      <c r="AF109" s="1648">
        <v>11</v>
      </c>
    </row>
    <row s="1648" customFormat="1" customHeight="1" ht="11.549999999999999">
      <c r="A110" s="994"/>
      <c r="B110" s="1643"/>
      <c r="C110" s="1643"/>
      <c r="D110" s="358"/>
      <c r="K110" s="1167"/>
      <c r="L110" s="1643"/>
      <c r="M110" s="1643"/>
      <c r="N110" s="1167"/>
      <c r="O110" s="1167"/>
      <c r="P110" s="1167"/>
      <c r="Q110" s="1167"/>
      <c r="R110" s="1643"/>
      <c r="S110" s="1167"/>
      <c r="T110" s="1167"/>
      <c r="U110" s="551"/>
      <c r="V110" s="1167"/>
      <c r="W110" s="1167"/>
      <c r="X110" s="1167"/>
      <c r="Y110" s="1167"/>
      <c r="Z110" s="1167"/>
      <c r="AA110" s="1639"/>
      <c r="AB110" s="573"/>
      <c r="AC110" s="573"/>
      <c r="AD110" s="573"/>
      <c r="AE110" s="573"/>
      <c r="AF110" s="1648">
        <v>11</v>
      </c>
    </row>
    <row s="1648" customFormat="1" customHeight="1" ht="11.549999999999999">
      <c r="A111" s="994"/>
      <c r="B111" s="1643"/>
      <c r="C111" s="1643"/>
      <c r="D111" s="358"/>
      <c r="K111" s="1167"/>
      <c r="L111" s="1643"/>
      <c r="M111" s="1643"/>
      <c r="N111" s="1167"/>
      <c r="O111" s="1167"/>
      <c r="P111" s="1167"/>
      <c r="Q111" s="1167"/>
      <c r="R111" s="1643"/>
      <c r="S111" s="1167"/>
      <c r="T111" s="1167"/>
      <c r="U111" s="551"/>
      <c r="V111" s="1167"/>
      <c r="W111" s="1167"/>
      <c r="X111" s="1167"/>
      <c r="Y111" s="1167"/>
      <c r="Z111" s="1167"/>
      <c r="AA111" s="1639"/>
      <c r="AB111" s="573"/>
      <c r="AC111" s="573"/>
      <c r="AD111" s="573"/>
      <c r="AE111" s="573"/>
      <c r="AF111" s="1648">
        <v>11</v>
      </c>
    </row>
    <row s="1648" customFormat="1" customHeight="1" ht="11.549999999999999">
      <c r="A112" s="994"/>
      <c r="B112" s="1643"/>
      <c r="C112" s="1643"/>
      <c r="D112" s="358"/>
      <c r="K112" s="1167"/>
      <c r="L112" s="1643"/>
      <c r="M112" s="1643"/>
      <c r="N112" s="1167"/>
      <c r="O112" s="1167"/>
      <c r="P112" s="1167"/>
      <c r="Q112" s="1167"/>
      <c r="R112" s="1643"/>
      <c r="S112" s="1167"/>
      <c r="T112" s="1167"/>
      <c r="U112" s="551"/>
      <c r="V112" s="1167"/>
      <c r="W112" s="1167"/>
      <c r="X112" s="1167"/>
      <c r="Y112" s="1167"/>
      <c r="Z112" s="1167"/>
      <c r="AA112" s="1639"/>
      <c r="AB112" s="573"/>
      <c r="AC112" s="573"/>
      <c r="AD112" s="573"/>
      <c r="AE112" s="573"/>
      <c r="AF112" s="1648">
        <v>11</v>
      </c>
    </row>
    <row s="1648" customFormat="1" customHeight="1" ht="11.549999999999999">
      <c r="A113" s="994"/>
      <c r="B113" s="1643"/>
      <c r="C113" s="1643"/>
      <c r="D113" s="358"/>
      <c r="K113" s="1167"/>
      <c r="L113" s="1643"/>
      <c r="M113" s="1643"/>
      <c r="N113" s="1167"/>
      <c r="O113" s="1167"/>
      <c r="P113" s="1167"/>
      <c r="Q113" s="1167"/>
      <c r="R113" s="1643"/>
      <c r="S113" s="1167"/>
      <c r="T113" s="1167"/>
      <c r="U113" s="551"/>
      <c r="V113" s="1167"/>
      <c r="W113" s="1167"/>
      <c r="X113" s="1167"/>
      <c r="Y113" s="1167"/>
      <c r="Z113" s="1167"/>
      <c r="AA113" s="1639"/>
      <c r="AB113" s="573"/>
      <c r="AC113" s="573"/>
      <c r="AD113" s="573"/>
      <c r="AE113" s="573"/>
      <c r="AF113" s="1648">
        <v>11</v>
      </c>
    </row>
    <row s="1648" customFormat="1" customHeight="1" ht="11.549999999999999">
      <c r="A114" s="994"/>
      <c r="B114" s="1643"/>
      <c r="C114" s="1643"/>
      <c r="D114" s="358"/>
      <c r="K114" s="1167"/>
      <c r="L114" s="1643"/>
      <c r="M114" s="1643"/>
      <c r="N114" s="1167"/>
      <c r="O114" s="1167"/>
      <c r="P114" s="1167"/>
      <c r="Q114" s="1167"/>
      <c r="R114" s="1643"/>
      <c r="S114" s="1167"/>
      <c r="T114" s="1167"/>
      <c r="U114" s="551"/>
      <c r="V114" s="1167"/>
      <c r="W114" s="1167"/>
      <c r="X114" s="1167"/>
      <c r="Y114" s="1167"/>
      <c r="Z114" s="1167"/>
      <c r="AA114" s="1639"/>
      <c r="AB114" s="573"/>
      <c r="AC114" s="573"/>
      <c r="AD114" s="573"/>
      <c r="AE114" s="573"/>
      <c r="AF114" s="1648">
        <v>11</v>
      </c>
    </row>
    <row s="1648" customFormat="1" customHeight="1" ht="11.549999999999999">
      <c r="A115" s="994"/>
      <c r="B115" s="1643"/>
      <c r="C115" s="1643"/>
      <c r="D115" s="358"/>
      <c r="K115" s="1167"/>
      <c r="L115" s="1643"/>
      <c r="M115" s="1643"/>
      <c r="N115" s="1167"/>
      <c r="O115" s="1167"/>
      <c r="P115" s="1167"/>
      <c r="Q115" s="1167"/>
      <c r="R115" s="1643"/>
      <c r="S115" s="1167"/>
      <c r="T115" s="1167"/>
      <c r="U115" s="551"/>
      <c r="V115" s="1167"/>
      <c r="W115" s="1167"/>
      <c r="X115" s="1167"/>
      <c r="Y115" s="1167"/>
      <c r="Z115" s="1167"/>
      <c r="AA115" s="1639"/>
      <c r="AB115" s="573"/>
      <c r="AC115" s="573"/>
      <c r="AD115" s="573"/>
      <c r="AE115" s="573"/>
      <c r="AF115" s="1648">
        <v>11</v>
      </c>
    </row>
    <row s="1648" customFormat="1" customHeight="1" ht="11.549999999999999">
      <c r="A116" s="994"/>
      <c r="B116" s="1643"/>
      <c r="C116" s="1643"/>
      <c r="D116" s="358"/>
      <c r="K116" s="1167"/>
      <c r="L116" s="1643"/>
      <c r="M116" s="1643"/>
      <c r="N116" s="1167"/>
      <c r="O116" s="1167"/>
      <c r="P116" s="1167"/>
      <c r="Q116" s="1167"/>
      <c r="R116" s="1643"/>
      <c r="S116" s="1167"/>
      <c r="T116" s="1167"/>
      <c r="U116" s="551"/>
      <c r="V116" s="1167"/>
      <c r="W116" s="1167"/>
      <c r="X116" s="1167"/>
      <c r="Y116" s="1167"/>
      <c r="Z116" s="1167"/>
      <c r="AA116" s="1639"/>
      <c r="AB116" s="573"/>
      <c r="AC116" s="573"/>
      <c r="AD116" s="573"/>
      <c r="AE116" s="573"/>
      <c r="AF116" s="1648">
        <v>11</v>
      </c>
    </row>
    <row s="1648" customFormat="1" customHeight="1" ht="11.549999999999999">
      <c r="A117" s="994"/>
      <c r="B117" s="1643"/>
      <c r="C117" s="1643"/>
      <c r="D117" s="358"/>
      <c r="K117" s="1167"/>
      <c r="L117" s="1643"/>
      <c r="M117" s="1643"/>
      <c r="N117" s="1167"/>
      <c r="O117" s="1167"/>
      <c r="P117" s="1167"/>
      <c r="Q117" s="1167"/>
      <c r="R117" s="1643"/>
      <c r="S117" s="1167"/>
      <c r="T117" s="1167"/>
      <c r="U117" s="551"/>
      <c r="V117" s="1167"/>
      <c r="W117" s="1167"/>
      <c r="X117" s="1167"/>
      <c r="Y117" s="1167"/>
      <c r="Z117" s="1167"/>
      <c r="AA117" s="1639"/>
      <c r="AB117" s="573"/>
      <c r="AC117" s="573"/>
      <c r="AD117" s="573"/>
      <c r="AE117" s="573"/>
      <c r="AF117" s="1648">
        <v>11</v>
      </c>
    </row>
    <row s="1648" customFormat="1" customHeight="1" ht="11.549999999999999">
      <c r="A118" s="994"/>
      <c r="B118" s="1643"/>
      <c r="C118" s="1643"/>
      <c r="D118" s="358"/>
      <c r="K118" s="1167"/>
      <c r="L118" s="1643"/>
      <c r="M118" s="1643"/>
      <c r="N118" s="1167"/>
      <c r="O118" s="1167"/>
      <c r="P118" s="1167"/>
      <c r="Q118" s="1167"/>
      <c r="R118" s="1643"/>
      <c r="S118" s="1167"/>
      <c r="T118" s="1167"/>
      <c r="U118" s="551"/>
      <c r="V118" s="1167"/>
      <c r="W118" s="1167"/>
      <c r="X118" s="1167"/>
      <c r="Y118" s="1167"/>
      <c r="Z118" s="1167"/>
      <c r="AA118" s="1639"/>
      <c r="AB118" s="573"/>
      <c r="AC118" s="573"/>
      <c r="AD118" s="573"/>
      <c r="AE118" s="573"/>
      <c r="AF118" s="1648">
        <v>11</v>
      </c>
    </row>
    <row s="1648" customFormat="1" customHeight="1" ht="11.549999999999999">
      <c r="A119" s="994"/>
      <c r="B119" s="1643"/>
      <c r="C119" s="1643"/>
      <c r="D119" s="358"/>
      <c r="K119" s="1167"/>
      <c r="L119" s="1643"/>
      <c r="M119" s="1643"/>
      <c r="N119" s="1167"/>
      <c r="O119" s="1167"/>
      <c r="P119" s="1167"/>
      <c r="Q119" s="1167"/>
      <c r="R119" s="1643"/>
      <c r="S119" s="1167"/>
      <c r="T119" s="1167"/>
      <c r="U119" s="551"/>
      <c r="V119" s="1167"/>
      <c r="W119" s="1167"/>
      <c r="X119" s="1167"/>
      <c r="Y119" s="1167"/>
      <c r="Z119" s="1167"/>
      <c r="AA119" s="1639"/>
      <c r="AB119" s="573"/>
      <c r="AC119" s="573"/>
      <c r="AD119" s="573"/>
      <c r="AE119" s="573"/>
      <c r="AF119" s="1648">
        <v>11</v>
      </c>
    </row>
    <row s="1648" customFormat="1" customHeight="1" ht="11.549999999999999">
      <c r="A120" s="994"/>
      <c r="B120" s="1643"/>
      <c r="C120" s="1643"/>
      <c r="D120" s="358"/>
      <c r="K120" s="1167"/>
      <c r="L120" s="1643"/>
      <c r="M120" s="1643"/>
      <c r="N120" s="1167"/>
      <c r="O120" s="1167"/>
      <c r="P120" s="1167"/>
      <c r="Q120" s="1167"/>
      <c r="R120" s="1643"/>
      <c r="S120" s="1167"/>
      <c r="T120" s="1167"/>
      <c r="U120" s="551"/>
      <c r="V120" s="1167"/>
      <c r="W120" s="1167"/>
      <c r="X120" s="1167"/>
      <c r="Y120" s="1167"/>
      <c r="Z120" s="1167"/>
      <c r="AA120" s="1639"/>
      <c r="AB120" s="573"/>
      <c r="AC120" s="573"/>
      <c r="AD120" s="573"/>
      <c r="AE120" s="573"/>
      <c r="AF120" s="1648">
        <v>11</v>
      </c>
    </row>
    <row s="1648" customFormat="1" customHeight="1" ht="11.549999999999999">
      <c r="A121" s="994"/>
      <c r="B121" s="1643"/>
      <c r="C121" s="1643"/>
      <c r="D121" s="358"/>
      <c r="K121" s="1167"/>
      <c r="L121" s="1643"/>
      <c r="M121" s="1643"/>
      <c r="N121" s="1167"/>
      <c r="O121" s="1167"/>
      <c r="P121" s="1167"/>
      <c r="Q121" s="1167"/>
      <c r="R121" s="1643"/>
      <c r="S121" s="1167"/>
      <c r="T121" s="1167"/>
      <c r="U121" s="551"/>
      <c r="V121" s="1167"/>
      <c r="W121" s="1167"/>
      <c r="X121" s="1167"/>
      <c r="Y121" s="1167"/>
      <c r="Z121" s="1167"/>
      <c r="AA121" s="1639"/>
      <c r="AB121" s="573"/>
      <c r="AC121" s="573"/>
      <c r="AD121" s="573"/>
      <c r="AE121" s="573"/>
      <c r="AF121" s="1648">
        <v>11</v>
      </c>
    </row>
    <row s="1648" customFormat="1" customHeight="1" ht="11.549999999999999">
      <c r="A122" s="994"/>
      <c r="B122" s="1643"/>
      <c r="C122" s="1643"/>
      <c r="D122" s="358"/>
      <c r="K122" s="1167"/>
      <c r="L122" s="1643"/>
      <c r="M122" s="1643"/>
      <c r="N122" s="1167"/>
      <c r="O122" s="1167"/>
      <c r="P122" s="1167"/>
      <c r="Q122" s="1167"/>
      <c r="R122" s="1643"/>
      <c r="S122" s="1167"/>
      <c r="T122" s="1167"/>
      <c r="U122" s="551"/>
      <c r="V122" s="1167"/>
      <c r="W122" s="1167"/>
      <c r="X122" s="1167"/>
      <c r="Y122" s="1167"/>
      <c r="Z122" s="1167"/>
      <c r="AA122" s="1639"/>
      <c r="AB122" s="573"/>
      <c r="AC122" s="573"/>
      <c r="AD122" s="573"/>
      <c r="AE122" s="573"/>
      <c r="AF122" s="1648">
        <v>11</v>
      </c>
    </row>
    <row s="1648" customFormat="1" customHeight="1" ht="11.549999999999999">
      <c r="A123" s="994"/>
      <c r="B123" s="1643"/>
      <c r="C123" s="1643"/>
      <c r="D123" s="358"/>
      <c r="K123" s="1167"/>
      <c r="L123" s="1643"/>
      <c r="M123" s="1643"/>
      <c r="N123" s="1167"/>
      <c r="O123" s="1167"/>
      <c r="P123" s="1167"/>
      <c r="Q123" s="1167"/>
      <c r="R123" s="1643"/>
      <c r="S123" s="1167"/>
      <c r="T123" s="1167"/>
      <c r="U123" s="551"/>
      <c r="V123" s="1167"/>
      <c r="W123" s="1167"/>
      <c r="X123" s="1167"/>
      <c r="Y123" s="1167"/>
      <c r="Z123" s="1167"/>
      <c r="AA123" s="1639"/>
      <c r="AB123" s="573"/>
      <c r="AC123" s="573"/>
      <c r="AD123" s="573"/>
      <c r="AE123" s="573"/>
      <c r="AF123" s="1648">
        <v>11</v>
      </c>
    </row>
    <row s="1648" customFormat="1" customHeight="1" ht="11.549999999999999">
      <c r="A124" s="994"/>
      <c r="B124" s="1643"/>
      <c r="C124" s="1643"/>
      <c r="D124" s="358"/>
      <c r="K124" s="1167"/>
      <c r="L124" s="1643"/>
      <c r="M124" s="1643"/>
      <c r="N124" s="1167"/>
      <c r="O124" s="1167"/>
      <c r="P124" s="1167"/>
      <c r="Q124" s="1167"/>
      <c r="R124" s="1643"/>
      <c r="S124" s="1167"/>
      <c r="T124" s="1167"/>
      <c r="U124" s="551"/>
      <c r="V124" s="1167"/>
      <c r="W124" s="1167"/>
      <c r="X124" s="1167"/>
      <c r="Y124" s="1167"/>
      <c r="Z124" s="1167"/>
      <c r="AA124" s="1639"/>
      <c r="AB124" s="573"/>
      <c r="AC124" s="573"/>
      <c r="AD124" s="573"/>
      <c r="AE124" s="573"/>
      <c r="AF124" s="1648">
        <v>11</v>
      </c>
    </row>
    <row s="1648" customFormat="1" customHeight="1" ht="11.549999999999999">
      <c r="A125" s="994"/>
      <c r="B125" s="1643"/>
      <c r="C125" s="1643"/>
      <c r="D125" s="358"/>
      <c r="K125" s="1167"/>
      <c r="L125" s="1643"/>
      <c r="M125" s="1643"/>
      <c r="N125" s="1167"/>
      <c r="O125" s="1167"/>
      <c r="P125" s="1167"/>
      <c r="Q125" s="1167"/>
      <c r="R125" s="1643"/>
      <c r="S125" s="1167"/>
      <c r="T125" s="1167"/>
      <c r="U125" s="551"/>
      <c r="V125" s="1167"/>
      <c r="W125" s="1167"/>
      <c r="X125" s="1167"/>
      <c r="Y125" s="1167"/>
      <c r="Z125" s="1167"/>
      <c r="AA125" s="1639"/>
      <c r="AB125" s="573"/>
      <c r="AC125" s="573"/>
      <c r="AD125" s="573"/>
      <c r="AE125" s="573"/>
      <c r="AF125" s="1648">
        <v>11</v>
      </c>
    </row>
    <row s="1648" customFormat="1" customHeight="1" ht="11.549999999999999">
      <c r="A126" s="994"/>
      <c r="B126" s="1643"/>
      <c r="C126" s="1643"/>
      <c r="D126" s="358"/>
      <c r="K126" s="1167"/>
      <c r="L126" s="1643"/>
      <c r="M126" s="1643"/>
      <c r="N126" s="1167"/>
      <c r="O126" s="1167"/>
      <c r="P126" s="1167"/>
      <c r="Q126" s="1167"/>
      <c r="R126" s="1643"/>
      <c r="S126" s="1167"/>
      <c r="T126" s="1167"/>
      <c r="U126" s="551"/>
      <c r="V126" s="1167"/>
      <c r="W126" s="1167"/>
      <c r="X126" s="1167"/>
      <c r="Y126" s="1167"/>
      <c r="Z126" s="1167"/>
      <c r="AA126" s="1639"/>
      <c r="AB126" s="573"/>
      <c r="AC126" s="573"/>
      <c r="AD126" s="573"/>
      <c r="AE126" s="573"/>
      <c r="AF126" s="1648">
        <v>11</v>
      </c>
    </row>
    <row s="1648" customFormat="1" customHeight="1" ht="11.549999999999999">
      <c r="A127" s="994"/>
      <c r="B127" s="1643"/>
      <c r="C127" s="1643"/>
      <c r="D127" s="358"/>
      <c r="K127" s="1167"/>
      <c r="L127" s="1643"/>
      <c r="M127" s="1643"/>
      <c r="N127" s="1167"/>
      <c r="O127" s="1167"/>
      <c r="P127" s="1167"/>
      <c r="Q127" s="1167"/>
      <c r="R127" s="1643"/>
      <c r="S127" s="1167"/>
      <c r="T127" s="1167"/>
      <c r="U127" s="551"/>
      <c r="V127" s="1167"/>
      <c r="W127" s="1167"/>
      <c r="X127" s="1167"/>
      <c r="Y127" s="1167"/>
      <c r="Z127" s="1167"/>
      <c r="AA127" s="1639"/>
      <c r="AB127" s="573"/>
      <c r="AC127" s="573"/>
      <c r="AD127" s="573"/>
      <c r="AE127" s="573"/>
      <c r="AF127" s="1648">
        <v>11</v>
      </c>
    </row>
    <row s="1648" customFormat="1" customHeight="1" ht="11.549999999999999">
      <c r="A128" s="994"/>
      <c r="B128" s="1643"/>
      <c r="C128" s="1643"/>
      <c r="D128" s="358"/>
      <c r="K128" s="1167"/>
      <c r="L128" s="1643"/>
      <c r="M128" s="1643"/>
      <c r="N128" s="1167"/>
      <c r="O128" s="1167"/>
      <c r="P128" s="1167"/>
      <c r="Q128" s="1167"/>
      <c r="R128" s="1643"/>
      <c r="S128" s="1167"/>
      <c r="T128" s="1167"/>
      <c r="U128" s="551"/>
      <c r="V128" s="1167"/>
      <c r="W128" s="1167"/>
      <c r="X128" s="1167"/>
      <c r="Y128" s="1167"/>
      <c r="Z128" s="1167"/>
      <c r="AA128" s="1639"/>
      <c r="AB128" s="573"/>
      <c r="AC128" s="573"/>
      <c r="AD128" s="573"/>
      <c r="AE128" s="573"/>
      <c r="AF128" s="1648">
        <v>11</v>
      </c>
    </row>
    <row s="1648" customFormat="1" customHeight="1" ht="11.549999999999999">
      <c r="A129" s="994"/>
      <c r="B129" s="1643"/>
      <c r="C129" s="1643"/>
      <c r="D129" s="358"/>
      <c r="K129" s="1167"/>
      <c r="L129" s="1643"/>
      <c r="M129" s="1643"/>
      <c r="N129" s="1167"/>
      <c r="O129" s="1167"/>
      <c r="P129" s="1167"/>
      <c r="Q129" s="1167"/>
      <c r="R129" s="1643"/>
      <c r="S129" s="1167"/>
      <c r="T129" s="1167"/>
      <c r="U129" s="551"/>
      <c r="V129" s="1167"/>
      <c r="W129" s="1167"/>
      <c r="X129" s="1167"/>
      <c r="Y129" s="1167"/>
      <c r="Z129" s="1167"/>
      <c r="AA129" s="1639"/>
      <c r="AB129" s="573"/>
      <c r="AC129" s="573"/>
      <c r="AD129" s="573"/>
      <c r="AE129" s="573"/>
      <c r="AF129" s="1648">
        <v>11</v>
      </c>
    </row>
    <row s="1648" customFormat="1" customHeight="1" ht="11.549999999999999">
      <c r="A130" s="994"/>
      <c r="B130" s="1643"/>
      <c r="C130" s="1643"/>
      <c r="D130" s="358"/>
      <c r="K130" s="1167"/>
      <c r="L130" s="1643"/>
      <c r="M130" s="1643"/>
      <c r="N130" s="1167"/>
      <c r="O130" s="1167"/>
      <c r="P130" s="1167"/>
      <c r="Q130" s="1167"/>
      <c r="R130" s="1643"/>
      <c r="S130" s="1167"/>
      <c r="T130" s="1167"/>
      <c r="U130" s="551"/>
      <c r="V130" s="1167"/>
      <c r="W130" s="1167"/>
      <c r="X130" s="1167"/>
      <c r="Y130" s="1167"/>
      <c r="Z130" s="1167"/>
      <c r="AA130" s="1639"/>
      <c r="AB130" s="573"/>
      <c r="AC130" s="573"/>
      <c r="AD130" s="573"/>
      <c r="AE130" s="573"/>
      <c r="AF130" s="1648">
        <v>11</v>
      </c>
    </row>
    <row s="1648" customFormat="1" customHeight="1" ht="11.549999999999999">
      <c r="A131" s="994"/>
      <c r="B131" s="1643"/>
      <c r="C131" s="1643"/>
      <c r="D131" s="358"/>
      <c r="K131" s="1167"/>
      <c r="L131" s="1643"/>
      <c r="M131" s="1643"/>
      <c r="N131" s="1167"/>
      <c r="O131" s="1167"/>
      <c r="P131" s="1167"/>
      <c r="Q131" s="1167"/>
      <c r="R131" s="1643"/>
      <c r="S131" s="1167"/>
      <c r="T131" s="1167"/>
      <c r="U131" s="551"/>
      <c r="V131" s="1167"/>
      <c r="W131" s="1167"/>
      <c r="X131" s="1167"/>
      <c r="Y131" s="1167"/>
      <c r="Z131" s="1167"/>
      <c r="AA131" s="1639"/>
      <c r="AB131" s="573"/>
      <c r="AC131" s="573"/>
      <c r="AD131" s="573"/>
      <c r="AE131" s="573"/>
      <c r="AF131" s="1648">
        <v>11</v>
      </c>
    </row>
    <row s="1648" customFormat="1" customHeight="1" ht="11.549999999999999">
      <c r="A132" s="994"/>
      <c r="B132" s="1643"/>
      <c r="C132" s="1643"/>
      <c r="D132" s="358"/>
      <c r="K132" s="1167"/>
      <c r="L132" s="1643"/>
      <c r="M132" s="1643"/>
      <c r="N132" s="1167"/>
      <c r="O132" s="1167"/>
      <c r="P132" s="1167"/>
      <c r="Q132" s="1167"/>
      <c r="R132" s="1643"/>
      <c r="S132" s="1167"/>
      <c r="T132" s="1167"/>
      <c r="U132" s="551"/>
      <c r="V132" s="1167"/>
      <c r="W132" s="1167"/>
      <c r="X132" s="1167"/>
      <c r="Y132" s="1167"/>
      <c r="Z132" s="1167"/>
      <c r="AA132" s="1639"/>
      <c r="AB132" s="573"/>
      <c r="AC132" s="573"/>
      <c r="AD132" s="573"/>
      <c r="AE132" s="573"/>
      <c r="AF132" s="1648">
        <v>11</v>
      </c>
    </row>
    <row s="1648" customFormat="1" customHeight="1" ht="11.549999999999999">
      <c r="A133" s="994"/>
      <c r="B133" s="1643"/>
      <c r="C133" s="1643"/>
      <c r="D133" s="358"/>
      <c r="K133" s="1167"/>
      <c r="L133" s="1643"/>
      <c r="M133" s="1643"/>
      <c r="N133" s="1167"/>
      <c r="O133" s="1167"/>
      <c r="P133" s="1167"/>
      <c r="Q133" s="1167"/>
      <c r="R133" s="1643"/>
      <c r="S133" s="1167"/>
      <c r="T133" s="1167"/>
      <c r="U133" s="551"/>
      <c r="V133" s="1167"/>
      <c r="W133" s="1167"/>
      <c r="X133" s="1167"/>
      <c r="Y133" s="1167"/>
      <c r="Z133" s="1167"/>
      <c r="AA133" s="1639"/>
      <c r="AB133" s="573"/>
      <c r="AC133" s="573"/>
      <c r="AD133" s="573"/>
      <c r="AE133" s="573"/>
      <c r="AF133" s="1648">
        <v>11</v>
      </c>
    </row>
    <row s="1648" customFormat="1" customHeight="1" ht="11.549999999999999">
      <c r="A134" s="994"/>
      <c r="B134" s="1643"/>
      <c r="C134" s="1643"/>
      <c r="D134" s="358"/>
      <c r="K134" s="1167"/>
      <c r="L134" s="1643"/>
      <c r="M134" s="1643"/>
      <c r="N134" s="1167"/>
      <c r="O134" s="1167"/>
      <c r="P134" s="1167"/>
      <c r="Q134" s="1167"/>
      <c r="R134" s="1643"/>
      <c r="S134" s="1167"/>
      <c r="T134" s="1167"/>
      <c r="U134" s="551"/>
      <c r="V134" s="1167"/>
      <c r="W134" s="1167"/>
      <c r="X134" s="1167"/>
      <c r="Y134" s="1167"/>
      <c r="Z134" s="1167"/>
      <c r="AA134" s="1639"/>
      <c r="AB134" s="573"/>
      <c r="AC134" s="573"/>
      <c r="AD134" s="573"/>
      <c r="AE134" s="573"/>
      <c r="AF134" s="1648">
        <v>11</v>
      </c>
    </row>
    <row s="1648" customFormat="1" customHeight="1" ht="11.549999999999999">
      <c r="A135" s="994"/>
      <c r="B135" s="1643"/>
      <c r="C135" s="1643"/>
      <c r="D135" s="358"/>
      <c r="K135" s="1167"/>
      <c r="L135" s="1643"/>
      <c r="M135" s="1643"/>
      <c r="N135" s="1167"/>
      <c r="O135" s="1167"/>
      <c r="P135" s="1167"/>
      <c r="Q135" s="1167"/>
      <c r="R135" s="1643"/>
      <c r="S135" s="1167"/>
      <c r="T135" s="1167"/>
      <c r="U135" s="551"/>
      <c r="V135" s="1167"/>
      <c r="W135" s="1167"/>
      <c r="X135" s="1167"/>
      <c r="Y135" s="1167"/>
      <c r="Z135" s="1167"/>
      <c r="AA135" s="1639"/>
      <c r="AB135" s="573"/>
      <c r="AC135" s="573"/>
      <c r="AD135" s="573"/>
      <c r="AE135" s="573"/>
      <c r="AF135" s="1648">
        <v>11</v>
      </c>
    </row>
    <row s="1648" customFormat="1" customHeight="1" ht="11.549999999999999">
      <c r="A136" s="994"/>
      <c r="B136" s="1643"/>
      <c r="C136" s="1643"/>
      <c r="D136" s="358"/>
      <c r="K136" s="1167"/>
      <c r="L136" s="1643"/>
      <c r="M136" s="1643"/>
      <c r="N136" s="1167"/>
      <c r="O136" s="1167"/>
      <c r="P136" s="1167"/>
      <c r="Q136" s="1167"/>
      <c r="R136" s="1643"/>
      <c r="S136" s="1167"/>
      <c r="T136" s="1167"/>
      <c r="U136" s="551"/>
      <c r="V136" s="1167"/>
      <c r="W136" s="1167"/>
      <c r="X136" s="1167"/>
      <c r="Y136" s="1167"/>
      <c r="Z136" s="1167"/>
      <c r="AA136" s="1639"/>
      <c r="AB136" s="573"/>
      <c r="AC136" s="573"/>
      <c r="AD136" s="573"/>
      <c r="AE136" s="573"/>
      <c r="AF136" s="1648">
        <v>11</v>
      </c>
    </row>
    <row s="1648" customFormat="1" customHeight="1" ht="11.549999999999999">
      <c r="A137" s="994"/>
      <c r="B137" s="1643"/>
      <c r="C137" s="1643"/>
      <c r="D137" s="358"/>
      <c r="K137" s="1167"/>
      <c r="L137" s="1643"/>
      <c r="M137" s="1643"/>
      <c r="N137" s="1167"/>
      <c r="O137" s="1167"/>
      <c r="P137" s="1167"/>
      <c r="Q137" s="1167"/>
      <c r="R137" s="1643"/>
      <c r="S137" s="1167"/>
      <c r="T137" s="1167"/>
      <c r="U137" s="551"/>
      <c r="V137" s="1167"/>
      <c r="W137" s="1167"/>
      <c r="X137" s="1167"/>
      <c r="Y137" s="1167"/>
      <c r="Z137" s="1167"/>
      <c r="AA137" s="1639"/>
      <c r="AB137" s="573"/>
      <c r="AC137" s="573"/>
      <c r="AD137" s="573"/>
      <c r="AE137" s="573"/>
      <c r="AF137" s="1648">
        <v>11</v>
      </c>
    </row>
    <row s="1648" customFormat="1" customHeight="1" ht="11.549999999999999">
      <c r="A138" s="994"/>
      <c r="B138" s="1643"/>
      <c r="C138" s="1643"/>
      <c r="D138" s="358"/>
      <c r="K138" s="1167"/>
      <c r="L138" s="1643"/>
      <c r="M138" s="1643"/>
      <c r="N138" s="1167"/>
      <c r="O138" s="1167"/>
      <c r="P138" s="1167"/>
      <c r="Q138" s="1167"/>
      <c r="R138" s="1643"/>
      <c r="S138" s="1167"/>
      <c r="T138" s="1167"/>
      <c r="U138" s="551"/>
      <c r="V138" s="1167"/>
      <c r="W138" s="1167"/>
      <c r="X138" s="1167"/>
      <c r="Y138" s="1167"/>
      <c r="Z138" s="1167"/>
      <c r="AA138" s="1639"/>
      <c r="AB138" s="573"/>
      <c r="AC138" s="573"/>
      <c r="AD138" s="573"/>
      <c r="AE138" s="573"/>
      <c r="AF138" s="1648">
        <v>11</v>
      </c>
    </row>
    <row s="1648" customFormat="1" customHeight="1" ht="11.549999999999999">
      <c r="A139" s="994"/>
      <c r="B139" s="1643"/>
      <c r="C139" s="1643"/>
      <c r="D139" s="358"/>
      <c r="K139" s="1167"/>
      <c r="L139" s="1643"/>
      <c r="M139" s="1643"/>
      <c r="N139" s="1167"/>
      <c r="O139" s="1167"/>
      <c r="P139" s="1167"/>
      <c r="Q139" s="1167"/>
      <c r="R139" s="1643"/>
      <c r="S139" s="1167"/>
      <c r="T139" s="1167"/>
      <c r="U139" s="551"/>
      <c r="V139" s="1167"/>
      <c r="W139" s="1167"/>
      <c r="X139" s="1167"/>
      <c r="Y139" s="1167"/>
      <c r="Z139" s="1167"/>
      <c r="AA139" s="1639"/>
      <c r="AB139" s="573"/>
      <c r="AC139" s="573"/>
      <c r="AD139" s="573"/>
      <c r="AE139" s="573"/>
      <c r="AF139" s="1648">
        <v>11</v>
      </c>
    </row>
    <row s="1648" customFormat="1" customHeight="1" ht="11.549999999999999">
      <c r="A140" s="994"/>
      <c r="B140" s="1643"/>
      <c r="C140" s="1643"/>
      <c r="D140" s="358"/>
      <c r="K140" s="1167"/>
      <c r="L140" s="1643"/>
      <c r="M140" s="1643"/>
      <c r="N140" s="1167"/>
      <c r="O140" s="1167"/>
      <c r="P140" s="1167"/>
      <c r="Q140" s="1167"/>
      <c r="R140" s="1643"/>
      <c r="S140" s="1167"/>
      <c r="T140" s="1167"/>
      <c r="U140" s="551"/>
      <c r="V140" s="1167"/>
      <c r="W140" s="1167"/>
      <c r="X140" s="1167"/>
      <c r="Y140" s="1167"/>
      <c r="Z140" s="1167"/>
      <c r="AA140" s="1639"/>
      <c r="AB140" s="573"/>
      <c r="AC140" s="573"/>
      <c r="AD140" s="573"/>
      <c r="AE140" s="573"/>
      <c r="AF140" s="1648">
        <v>11</v>
      </c>
    </row>
    <row s="1648" customFormat="1" customHeight="1" ht="11.549999999999999">
      <c r="A141" s="994"/>
      <c r="B141" s="1643"/>
      <c r="C141" s="1643"/>
      <c r="D141" s="358"/>
      <c r="K141" s="1167"/>
      <c r="L141" s="1643"/>
      <c r="M141" s="1643"/>
      <c r="N141" s="1167"/>
      <c r="O141" s="1167"/>
      <c r="P141" s="1167"/>
      <c r="Q141" s="1167"/>
      <c r="R141" s="1643"/>
      <c r="S141" s="1167"/>
      <c r="T141" s="1167"/>
      <c r="U141" s="551"/>
      <c r="V141" s="1167"/>
      <c r="W141" s="1167"/>
      <c r="X141" s="1167"/>
      <c r="Y141" s="1167"/>
      <c r="Z141" s="1167"/>
      <c r="AA141" s="1639"/>
      <c r="AB141" s="573"/>
      <c r="AC141" s="573"/>
      <c r="AD141" s="573"/>
      <c r="AE141" s="573"/>
      <c r="AF141" s="1648">
        <v>11</v>
      </c>
    </row>
    <row s="1648" customFormat="1" customHeight="1" ht="11.549999999999999">
      <c r="A142" s="994"/>
      <c r="B142" s="1643"/>
      <c r="C142" s="1643"/>
      <c r="D142" s="358"/>
      <c r="K142" s="1167"/>
      <c r="L142" s="1643"/>
      <c r="M142" s="1643"/>
      <c r="N142" s="1167"/>
      <c r="O142" s="1167"/>
      <c r="P142" s="1167"/>
      <c r="Q142" s="1167"/>
      <c r="R142" s="1643"/>
      <c r="S142" s="1167"/>
      <c r="T142" s="1167"/>
      <c r="U142" s="551"/>
      <c r="V142" s="1167"/>
      <c r="W142" s="1167"/>
      <c r="X142" s="1167"/>
      <c r="Y142" s="1167"/>
      <c r="Z142" s="1167"/>
      <c r="AA142" s="1639"/>
      <c r="AB142" s="573"/>
      <c r="AC142" s="573"/>
      <c r="AD142" s="573"/>
      <c r="AE142" s="573"/>
      <c r="AF142" s="1648">
        <v>11</v>
      </c>
    </row>
    <row s="1648" customFormat="1" customHeight="1" ht="11.549999999999999">
      <c r="A143" s="994"/>
      <c r="B143" s="1643"/>
      <c r="C143" s="1643"/>
      <c r="D143" s="358"/>
      <c r="K143" s="1167"/>
      <c r="L143" s="1643"/>
      <c r="M143" s="1643"/>
      <c r="N143" s="1167"/>
      <c r="O143" s="1167"/>
      <c r="P143" s="1167"/>
      <c r="Q143" s="1167"/>
      <c r="R143" s="1643"/>
      <c r="S143" s="1167"/>
      <c r="T143" s="1167"/>
      <c r="U143" s="551"/>
      <c r="V143" s="1167"/>
      <c r="W143" s="1167"/>
      <c r="X143" s="1167"/>
      <c r="Y143" s="1167"/>
      <c r="Z143" s="1167"/>
      <c r="AA143" s="1639"/>
      <c r="AB143" s="573"/>
      <c r="AC143" s="573"/>
      <c r="AD143" s="573"/>
      <c r="AE143" s="573"/>
      <c r="AF143" s="1648">
        <v>11</v>
      </c>
    </row>
    <row s="1648" customFormat="1" customHeight="1" ht="11.549999999999999">
      <c r="A144" s="994"/>
      <c r="B144" s="1643"/>
      <c r="C144" s="1643"/>
      <c r="D144" s="358"/>
      <c r="K144" s="1167"/>
      <c r="L144" s="1643"/>
      <c r="M144" s="1643"/>
      <c r="N144" s="1167"/>
      <c r="O144" s="1167"/>
      <c r="P144" s="1167"/>
      <c r="Q144" s="1167"/>
      <c r="R144" s="1643"/>
      <c r="S144" s="1167"/>
      <c r="T144" s="1167"/>
      <c r="U144" s="551"/>
      <c r="V144" s="1167"/>
      <c r="W144" s="1167"/>
      <c r="X144" s="1167"/>
      <c r="Y144" s="1167"/>
      <c r="Z144" s="1167"/>
      <c r="AA144" s="1639"/>
      <c r="AB144" s="573"/>
      <c r="AC144" s="573"/>
      <c r="AD144" s="573"/>
      <c r="AE144" s="573"/>
      <c r="AF144" s="1648">
        <v>11</v>
      </c>
    </row>
    <row s="1648" customFormat="1" customHeight="1" ht="11.549999999999999">
      <c r="A145" s="994"/>
      <c r="B145" s="1643"/>
      <c r="C145" s="1643"/>
      <c r="D145" s="358"/>
      <c r="K145" s="1167"/>
      <c r="L145" s="1643"/>
      <c r="M145" s="1643"/>
      <c r="N145" s="1167"/>
      <c r="O145" s="1167"/>
      <c r="P145" s="1167"/>
      <c r="Q145" s="1167"/>
      <c r="R145" s="1643"/>
      <c r="S145" s="1167"/>
      <c r="T145" s="1167"/>
      <c r="U145" s="551"/>
      <c r="V145" s="1167"/>
      <c r="W145" s="1167"/>
      <c r="X145" s="1167"/>
      <c r="Y145" s="1167"/>
      <c r="Z145" s="1167"/>
      <c r="AA145" s="1639"/>
      <c r="AB145" s="573"/>
      <c r="AC145" s="573"/>
      <c r="AD145" s="573"/>
      <c r="AE145" s="573"/>
      <c r="AF145" s="1648">
        <v>11</v>
      </c>
    </row>
    <row s="1648" customFormat="1" customHeight="1" ht="11.549999999999999">
      <c r="A146" s="994"/>
      <c r="B146" s="1643"/>
      <c r="C146" s="1643"/>
      <c r="D146" s="358"/>
      <c r="K146" s="1167"/>
      <c r="L146" s="1643"/>
      <c r="M146" s="1643"/>
      <c r="N146" s="1167"/>
      <c r="O146" s="1167"/>
      <c r="P146" s="1167"/>
      <c r="Q146" s="1167"/>
      <c r="R146" s="1643"/>
      <c r="S146" s="1167"/>
      <c r="T146" s="1167"/>
      <c r="U146" s="551"/>
      <c r="V146" s="1167"/>
      <c r="W146" s="1167"/>
      <c r="X146" s="1167"/>
      <c r="Y146" s="1167"/>
      <c r="Z146" s="1167"/>
      <c r="AA146" s="1639"/>
      <c r="AB146" s="573"/>
      <c r="AC146" s="573"/>
      <c r="AD146" s="573"/>
      <c r="AE146" s="573"/>
      <c r="AF146" s="1648">
        <v>11</v>
      </c>
    </row>
    <row s="1648" customFormat="1" customHeight="1" ht="11.549999999999999">
      <c r="A147" s="994"/>
      <c r="B147" s="1643"/>
      <c r="C147" s="1643"/>
      <c r="D147" s="358"/>
      <c r="K147" s="1167"/>
      <c r="L147" s="1643"/>
      <c r="M147" s="1643"/>
      <c r="N147" s="1167"/>
      <c r="O147" s="1167"/>
      <c r="P147" s="1167"/>
      <c r="Q147" s="1167"/>
      <c r="R147" s="1643"/>
      <c r="S147" s="1167"/>
      <c r="T147" s="1167"/>
      <c r="U147" s="551"/>
      <c r="V147" s="1167"/>
      <c r="W147" s="1167"/>
      <c r="X147" s="1167"/>
      <c r="Y147" s="1167"/>
      <c r="Z147" s="1167"/>
      <c r="AA147" s="1639"/>
      <c r="AB147" s="573"/>
      <c r="AC147" s="573"/>
      <c r="AD147" s="573"/>
      <c r="AE147" s="573"/>
      <c r="AF147" s="1648">
        <v>11</v>
      </c>
    </row>
    <row s="1648" customFormat="1" customHeight="1" ht="11.549999999999999">
      <c r="A148" s="994"/>
      <c r="B148" s="1643"/>
      <c r="C148" s="1643"/>
      <c r="D148" s="358"/>
      <c r="K148" s="1167"/>
      <c r="L148" s="1643"/>
      <c r="M148" s="1643"/>
      <c r="N148" s="1167"/>
      <c r="O148" s="1167"/>
      <c r="P148" s="1167"/>
      <c r="Q148" s="1167"/>
      <c r="R148" s="1643"/>
      <c r="S148" s="1167"/>
      <c r="T148" s="1167"/>
      <c r="U148" s="551"/>
      <c r="V148" s="1167"/>
      <c r="W148" s="1167"/>
      <c r="X148" s="1167"/>
      <c r="Y148" s="1167"/>
      <c r="Z148" s="1167"/>
      <c r="AA148" s="1639"/>
      <c r="AB148" s="573"/>
      <c r="AC148" s="573"/>
      <c r="AD148" s="573"/>
      <c r="AE148" s="573"/>
      <c r="AF148" s="1648">
        <v>11</v>
      </c>
    </row>
    <row s="1648" customFormat="1" customHeight="1" ht="11.549999999999999">
      <c r="A149" s="994"/>
      <c r="B149" s="1643"/>
      <c r="C149" s="1643"/>
      <c r="D149" s="358"/>
      <c r="K149" s="1167"/>
      <c r="L149" s="1643"/>
      <c r="M149" s="1643"/>
      <c r="N149" s="1167"/>
      <c r="O149" s="1167"/>
      <c r="P149" s="1167"/>
      <c r="Q149" s="1167"/>
      <c r="R149" s="1643"/>
      <c r="S149" s="1167"/>
      <c r="T149" s="1167"/>
      <c r="U149" s="551"/>
      <c r="V149" s="1167"/>
      <c r="W149" s="1167"/>
      <c r="X149" s="1167"/>
      <c r="Y149" s="1167"/>
      <c r="Z149" s="1167"/>
      <c r="AA149" s="1639"/>
      <c r="AB149" s="573"/>
      <c r="AC149" s="573"/>
      <c r="AD149" s="573"/>
      <c r="AE149" s="573"/>
      <c r="AF149" s="1648">
        <v>11</v>
      </c>
    </row>
    <row s="1648" customFormat="1" customHeight="1" ht="11.549999999999999">
      <c r="A150" s="994"/>
      <c r="B150" s="1643"/>
      <c r="C150" s="1643"/>
      <c r="D150" s="358"/>
      <c r="K150" s="1167"/>
      <c r="L150" s="1643"/>
      <c r="M150" s="1643"/>
      <c r="N150" s="1167"/>
      <c r="O150" s="1167"/>
      <c r="P150" s="1167"/>
      <c r="Q150" s="1167"/>
      <c r="R150" s="1643"/>
      <c r="S150" s="1167"/>
      <c r="T150" s="1167"/>
      <c r="U150" s="551"/>
      <c r="V150" s="1167"/>
      <c r="W150" s="1167"/>
      <c r="X150" s="1167"/>
      <c r="Y150" s="1167"/>
      <c r="Z150" s="1167"/>
      <c r="AA150" s="1639"/>
      <c r="AB150" s="573"/>
      <c r="AC150" s="573"/>
      <c r="AD150" s="573"/>
      <c r="AE150" s="573"/>
      <c r="AF150" s="1648">
        <v>11</v>
      </c>
    </row>
    <row s="1648" customFormat="1" customHeight="1" ht="11.549999999999999">
      <c r="A151" s="994"/>
      <c r="B151" s="1643"/>
      <c r="C151" s="1643"/>
      <c r="D151" s="358"/>
      <c r="K151" s="1167"/>
      <c r="L151" s="1643"/>
      <c r="M151" s="1643"/>
      <c r="N151" s="1167"/>
      <c r="O151" s="1167"/>
      <c r="P151" s="1167"/>
      <c r="Q151" s="1167"/>
      <c r="R151" s="1643"/>
      <c r="S151" s="1167"/>
      <c r="T151" s="1167"/>
      <c r="U151" s="551"/>
      <c r="V151" s="1167"/>
      <c r="W151" s="1167"/>
      <c r="X151" s="1167"/>
      <c r="Y151" s="1167"/>
      <c r="Z151" s="1167"/>
      <c r="AA151" s="1639"/>
      <c r="AB151" s="573"/>
      <c r="AC151" s="573"/>
      <c r="AD151" s="573"/>
      <c r="AE151" s="573"/>
      <c r="AF151" s="1648">
        <v>11</v>
      </c>
    </row>
    <row s="1648" customFormat="1" customHeight="1" ht="11.549999999999999">
      <c r="A152" s="994"/>
      <c r="B152" s="1643"/>
      <c r="C152" s="1643"/>
      <c r="D152" s="358"/>
      <c r="K152" s="1167"/>
      <c r="L152" s="1643"/>
      <c r="M152" s="1643"/>
      <c r="N152" s="1167"/>
      <c r="O152" s="1167"/>
      <c r="P152" s="1167"/>
      <c r="Q152" s="1167"/>
      <c r="R152" s="1643"/>
      <c r="S152" s="1167"/>
      <c r="T152" s="1167"/>
      <c r="U152" s="551"/>
      <c r="V152" s="1167"/>
      <c r="W152" s="1167"/>
      <c r="X152" s="1167"/>
      <c r="Y152" s="1167"/>
      <c r="Z152" s="1167"/>
      <c r="AA152" s="1639"/>
      <c r="AB152" s="573"/>
      <c r="AC152" s="573"/>
      <c r="AD152" s="573"/>
      <c r="AE152" s="573"/>
      <c r="AF152" s="1648">
        <v>11</v>
      </c>
    </row>
    <row s="1648" customFormat="1" customHeight="1" ht="11.549999999999999">
      <c r="A153" s="994"/>
      <c r="B153" s="1643"/>
      <c r="C153" s="1643"/>
      <c r="D153" s="358"/>
      <c r="K153" s="1167"/>
      <c r="L153" s="1643"/>
      <c r="M153" s="1643"/>
      <c r="N153" s="1167"/>
      <c r="O153" s="1167"/>
      <c r="P153" s="1167"/>
      <c r="Q153" s="1167"/>
      <c r="R153" s="1643"/>
      <c r="S153" s="1167"/>
      <c r="T153" s="1167"/>
      <c r="U153" s="551"/>
      <c r="V153" s="1167"/>
      <c r="W153" s="1167"/>
      <c r="X153" s="1167"/>
      <c r="Y153" s="1167"/>
      <c r="Z153" s="1167"/>
      <c r="AA153" s="1639"/>
      <c r="AB153" s="573"/>
      <c r="AC153" s="573"/>
      <c r="AD153" s="573"/>
      <c r="AE153" s="573"/>
      <c r="AF153" s="1648">
        <v>11</v>
      </c>
    </row>
    <row s="1648" customFormat="1" customHeight="1" ht="11.549999999999999">
      <c r="A154" s="994"/>
      <c r="B154" s="1643"/>
      <c r="C154" s="1643"/>
      <c r="D154" s="358"/>
      <c r="K154" s="1167"/>
      <c r="L154" s="1643"/>
      <c r="M154" s="1643"/>
      <c r="N154" s="1167"/>
      <c r="O154" s="1167"/>
      <c r="P154" s="1167"/>
      <c r="Q154" s="1167"/>
      <c r="R154" s="1643"/>
      <c r="S154" s="1167"/>
      <c r="T154" s="1167"/>
      <c r="U154" s="551"/>
      <c r="V154" s="1167"/>
      <c r="W154" s="1167"/>
      <c r="X154" s="1167"/>
      <c r="Y154" s="1167"/>
      <c r="Z154" s="1167"/>
      <c r="AA154" s="1639"/>
      <c r="AB154" s="573"/>
      <c r="AC154" s="573"/>
      <c r="AD154" s="573"/>
      <c r="AE154" s="573"/>
      <c r="AF154" s="1648">
        <v>11</v>
      </c>
    </row>
    <row s="1648" customFormat="1" customHeight="1" ht="11.549999999999999">
      <c r="A155" s="994"/>
      <c r="B155" s="1643"/>
      <c r="C155" s="1643"/>
      <c r="D155" s="358"/>
      <c r="K155" s="1167"/>
      <c r="L155" s="1643"/>
      <c r="M155" s="1643"/>
      <c r="N155" s="1167"/>
      <c r="O155" s="1167"/>
      <c r="P155" s="1167"/>
      <c r="Q155" s="1167"/>
      <c r="R155" s="1643"/>
      <c r="S155" s="1167"/>
      <c r="T155" s="1167"/>
      <c r="U155" s="551"/>
      <c r="V155" s="1167"/>
      <c r="W155" s="1167"/>
      <c r="X155" s="1167"/>
      <c r="Y155" s="1167"/>
      <c r="Z155" s="1167"/>
      <c r="AA155" s="1639"/>
      <c r="AB155" s="573"/>
      <c r="AC155" s="573"/>
      <c r="AD155" s="573"/>
      <c r="AE155" s="573"/>
      <c r="AF155" s="1648">
        <v>11</v>
      </c>
    </row>
    <row s="1648" customFormat="1" customHeight="1" ht="11.549999999999999">
      <c r="A156" s="994"/>
      <c r="B156" s="1643"/>
      <c r="C156" s="1643"/>
      <c r="D156" s="358"/>
      <c r="K156" s="1167"/>
      <c r="L156" s="1643"/>
      <c r="M156" s="1643"/>
      <c r="N156" s="1167"/>
      <c r="O156" s="1167"/>
      <c r="P156" s="1167"/>
      <c r="Q156" s="1167"/>
      <c r="R156" s="1643"/>
      <c r="S156" s="1167"/>
      <c r="T156" s="1167"/>
      <c r="U156" s="551"/>
      <c r="V156" s="1167"/>
      <c r="W156" s="1167"/>
      <c r="X156" s="1167"/>
      <c r="Y156" s="1167"/>
      <c r="Z156" s="1167"/>
      <c r="AA156" s="1639"/>
      <c r="AB156" s="573"/>
      <c r="AC156" s="573"/>
      <c r="AD156" s="573"/>
      <c r="AE156" s="573"/>
      <c r="AF156" s="1648">
        <v>11</v>
      </c>
    </row>
    <row s="1648" customFormat="1" customHeight="1" ht="11.549999999999999">
      <c r="A157" s="994"/>
      <c r="B157" s="1643"/>
      <c r="C157" s="1643"/>
      <c r="D157" s="358"/>
      <c r="K157" s="1167"/>
      <c r="L157" s="1643"/>
      <c r="M157" s="1643"/>
      <c r="N157" s="1167"/>
      <c r="O157" s="1167"/>
      <c r="P157" s="1167"/>
      <c r="Q157" s="1167"/>
      <c r="R157" s="1643"/>
      <c r="S157" s="1167"/>
      <c r="T157" s="1167"/>
      <c r="U157" s="551"/>
      <c r="V157" s="1167"/>
      <c r="W157" s="1167"/>
      <c r="X157" s="1167"/>
      <c r="Y157" s="1167"/>
      <c r="Z157" s="1167"/>
      <c r="AA157" s="1639"/>
      <c r="AB157" s="573"/>
      <c r="AC157" s="573"/>
      <c r="AD157" s="573"/>
      <c r="AE157" s="573"/>
      <c r="AF157" s="1648">
        <v>11</v>
      </c>
    </row>
    <row s="1648" customFormat="1" customHeight="1" ht="11.549999999999999">
      <c r="A158" s="994"/>
      <c r="B158" s="1643"/>
      <c r="C158" s="1643"/>
      <c r="D158" s="358"/>
      <c r="K158" s="1167"/>
      <c r="L158" s="1643"/>
      <c r="M158" s="1643"/>
      <c r="N158" s="1167"/>
      <c r="O158" s="1167"/>
      <c r="P158" s="1167"/>
      <c r="Q158" s="1167"/>
      <c r="R158" s="1643"/>
      <c r="S158" s="1167"/>
      <c r="T158" s="1167"/>
      <c r="U158" s="551"/>
      <c r="V158" s="1167"/>
      <c r="W158" s="1167"/>
      <c r="X158" s="1167"/>
      <c r="Y158" s="1167"/>
      <c r="Z158" s="1167"/>
      <c r="AA158" s="1639"/>
      <c r="AB158" s="573"/>
      <c r="AC158" s="573"/>
      <c r="AD158" s="573"/>
      <c r="AE158" s="573"/>
      <c r="AF158" s="1648">
        <v>11</v>
      </c>
    </row>
    <row s="1648" customFormat="1" customHeight="1" ht="11.549999999999999">
      <c r="A159" s="994"/>
      <c r="B159" s="1643"/>
      <c r="C159" s="1643"/>
      <c r="D159" s="358"/>
      <c r="K159" s="1167"/>
      <c r="L159" s="1643"/>
      <c r="M159" s="1643"/>
      <c r="N159" s="1167"/>
      <c r="O159" s="1167"/>
      <c r="P159" s="1167"/>
      <c r="Q159" s="1167"/>
      <c r="R159" s="1643"/>
      <c r="S159" s="1167"/>
      <c r="T159" s="1167"/>
      <c r="U159" s="551"/>
      <c r="V159" s="1167"/>
      <c r="W159" s="1167"/>
      <c r="X159" s="1167"/>
      <c r="Y159" s="1167"/>
      <c r="Z159" s="1167"/>
      <c r="AA159" s="1639"/>
      <c r="AB159" s="573"/>
      <c r="AC159" s="573"/>
      <c r="AD159" s="573"/>
      <c r="AE159" s="573"/>
      <c r="AF159" s="1648">
        <v>11</v>
      </c>
    </row>
    <row s="1648" customFormat="1" customHeight="1" ht="11.549999999999999">
      <c r="A160" s="994"/>
      <c r="B160" s="1643"/>
      <c r="C160" s="1643"/>
      <c r="D160" s="358"/>
      <c r="K160" s="1167"/>
      <c r="L160" s="1643"/>
      <c r="M160" s="1643"/>
      <c r="N160" s="1167"/>
      <c r="O160" s="1167"/>
      <c r="P160" s="1167"/>
      <c r="Q160" s="1167"/>
      <c r="R160" s="1643"/>
      <c r="S160" s="1167"/>
      <c r="T160" s="1167"/>
      <c r="U160" s="551"/>
      <c r="V160" s="1167"/>
      <c r="W160" s="1167"/>
      <c r="X160" s="1167"/>
      <c r="Y160" s="1167"/>
      <c r="Z160" s="1167"/>
      <c r="AA160" s="1639"/>
      <c r="AB160" s="573"/>
      <c r="AC160" s="573"/>
      <c r="AD160" s="573"/>
      <c r="AE160" s="573"/>
      <c r="AF160" s="1648">
        <v>11</v>
      </c>
    </row>
    <row s="1648" customFormat="1" customHeight="1" ht="11.549999999999999">
      <c r="A161" s="994"/>
      <c r="B161" s="1643"/>
      <c r="C161" s="1643"/>
      <c r="D161" s="358"/>
      <c r="K161" s="1167"/>
      <c r="L161" s="1643"/>
      <c r="M161" s="1643"/>
      <c r="N161" s="1167"/>
      <c r="O161" s="1167"/>
      <c r="P161" s="1167"/>
      <c r="Q161" s="1167"/>
      <c r="R161" s="1643"/>
      <c r="S161" s="1167"/>
      <c r="T161" s="1167"/>
      <c r="U161" s="551"/>
      <c r="V161" s="1167"/>
      <c r="W161" s="1167"/>
      <c r="X161" s="1167"/>
      <c r="Y161" s="1167"/>
      <c r="Z161" s="1167"/>
      <c r="AA161" s="1639"/>
      <c r="AB161" s="573"/>
      <c r="AC161" s="573"/>
      <c r="AD161" s="573"/>
      <c r="AE161" s="573"/>
      <c r="AF161" s="1648">
        <v>11</v>
      </c>
    </row>
    <row s="1648" customFormat="1" customHeight="1" ht="11.549999999999999">
      <c r="A162" s="994"/>
      <c r="B162" s="1643"/>
      <c r="C162" s="1643"/>
      <c r="D162" s="358"/>
      <c r="K162" s="1167"/>
      <c r="L162" s="1643"/>
      <c r="M162" s="1643"/>
      <c r="N162" s="1167"/>
      <c r="O162" s="1167"/>
      <c r="P162" s="1167"/>
      <c r="Q162" s="1167"/>
      <c r="R162" s="1643"/>
      <c r="S162" s="1167"/>
      <c r="T162" s="1167"/>
      <c r="U162" s="551"/>
      <c r="V162" s="1167"/>
      <c r="W162" s="1167"/>
      <c r="X162" s="1167"/>
      <c r="Y162" s="1167"/>
      <c r="Z162" s="1167"/>
      <c r="AA162" s="1639"/>
      <c r="AB162" s="573"/>
      <c r="AC162" s="573"/>
      <c r="AD162" s="573"/>
      <c r="AE162" s="573"/>
      <c r="AF162" s="1648">
        <v>11</v>
      </c>
    </row>
    <row s="1648" customFormat="1" customHeight="1" ht="11.549999999999999">
      <c r="A163" s="994"/>
      <c r="B163" s="1643"/>
      <c r="C163" s="1643"/>
      <c r="D163" s="358"/>
      <c r="K163" s="1167"/>
      <c r="L163" s="1643"/>
      <c r="M163" s="1643"/>
      <c r="N163" s="1167"/>
      <c r="O163" s="1167"/>
      <c r="P163" s="1167"/>
      <c r="Q163" s="1167"/>
      <c r="R163" s="1643"/>
      <c r="S163" s="1167"/>
      <c r="T163" s="1167"/>
      <c r="U163" s="551"/>
      <c r="V163" s="1167"/>
      <c r="W163" s="1167"/>
      <c r="X163" s="1167"/>
      <c r="Y163" s="1167"/>
      <c r="Z163" s="1167"/>
      <c r="AA163" s="1639"/>
      <c r="AB163" s="573"/>
      <c r="AC163" s="573"/>
      <c r="AD163" s="573"/>
      <c r="AE163" s="573"/>
      <c r="AF163" s="1648">
        <v>11</v>
      </c>
    </row>
    <row s="1648" customFormat="1" customHeight="1" ht="11.549999999999999">
      <c r="A164" s="994"/>
      <c r="B164" s="1643"/>
      <c r="C164" s="1643"/>
      <c r="D164" s="358"/>
      <c r="K164" s="1167"/>
      <c r="L164" s="1643"/>
      <c r="M164" s="1643"/>
      <c r="N164" s="1167"/>
      <c r="O164" s="1167"/>
      <c r="P164" s="1167"/>
      <c r="Q164" s="1167"/>
      <c r="R164" s="1643"/>
      <c r="S164" s="1167"/>
      <c r="T164" s="1167"/>
      <c r="U164" s="551"/>
      <c r="V164" s="1167"/>
      <c r="W164" s="1167"/>
      <c r="X164" s="1167"/>
      <c r="Y164" s="1167"/>
      <c r="Z164" s="1167"/>
      <c r="AA164" s="1639"/>
      <c r="AB164" s="573"/>
      <c r="AC164" s="573"/>
      <c r="AD164" s="573"/>
      <c r="AE164" s="573"/>
      <c r="AF164" s="1648">
        <v>11</v>
      </c>
    </row>
    <row s="1648" customFormat="1" customHeight="1" ht="11.549999999999999">
      <c r="A165" s="994"/>
      <c r="B165" s="1643"/>
      <c r="C165" s="1643"/>
      <c r="D165" s="358"/>
      <c r="K165" s="1167"/>
      <c r="L165" s="1643"/>
      <c r="M165" s="1643"/>
      <c r="N165" s="1167"/>
      <c r="O165" s="1167"/>
      <c r="P165" s="1167"/>
      <c r="Q165" s="1167"/>
      <c r="R165" s="1643"/>
      <c r="S165" s="1167"/>
      <c r="T165" s="1167"/>
      <c r="U165" s="551"/>
      <c r="V165" s="1167"/>
      <c r="W165" s="1167"/>
      <c r="X165" s="1167"/>
      <c r="Y165" s="1167"/>
      <c r="Z165" s="1167"/>
      <c r="AA165" s="1639"/>
      <c r="AB165" s="573"/>
      <c r="AC165" s="573"/>
      <c r="AD165" s="573"/>
      <c r="AE165" s="573"/>
      <c r="AF165" s="1648">
        <v>11</v>
      </c>
    </row>
    <row s="1648" customFormat="1" customHeight="1" ht="11.549999999999999">
      <c r="A166" s="994"/>
      <c r="B166" s="1643"/>
      <c r="C166" s="1643"/>
      <c r="D166" s="358"/>
      <c r="K166" s="1167"/>
      <c r="L166" s="1643"/>
      <c r="M166" s="1643"/>
      <c r="N166" s="1167"/>
      <c r="O166" s="1167"/>
      <c r="P166" s="1167"/>
      <c r="Q166" s="1167"/>
      <c r="R166" s="1643"/>
      <c r="S166" s="1167"/>
      <c r="T166" s="1167"/>
      <c r="U166" s="551"/>
      <c r="V166" s="1167"/>
      <c r="W166" s="1167"/>
      <c r="X166" s="1167"/>
      <c r="Y166" s="1167"/>
      <c r="Z166" s="1167"/>
      <c r="AA166" s="1639"/>
      <c r="AB166" s="573"/>
      <c r="AC166" s="573"/>
      <c r="AD166" s="573"/>
      <c r="AE166" s="573"/>
      <c r="AF166" s="1648">
        <v>11</v>
      </c>
    </row>
    <row s="1648" customFormat="1" customHeight="1" ht="11.549999999999999">
      <c r="A167" s="994"/>
      <c r="B167" s="1643"/>
      <c r="C167" s="1643"/>
      <c r="D167" s="358"/>
      <c r="K167" s="1167"/>
      <c r="L167" s="1643"/>
      <c r="M167" s="1643"/>
      <c r="N167" s="1167"/>
      <c r="O167" s="1167"/>
      <c r="P167" s="1167"/>
      <c r="Q167" s="1167"/>
      <c r="R167" s="1643"/>
      <c r="S167" s="1167"/>
      <c r="T167" s="1167"/>
      <c r="U167" s="551"/>
      <c r="V167" s="1167"/>
      <c r="W167" s="1167"/>
      <c r="X167" s="1167"/>
      <c r="Y167" s="1167"/>
      <c r="Z167" s="1167"/>
      <c r="AA167" s="1639"/>
      <c r="AB167" s="573"/>
      <c r="AC167" s="573"/>
      <c r="AD167" s="573"/>
      <c r="AE167" s="573"/>
      <c r="AF167" s="1648">
        <v>11</v>
      </c>
    </row>
    <row s="1648" customFormat="1" customHeight="1" ht="11.549999999999999">
      <c r="A168" s="994"/>
      <c r="B168" s="1643"/>
      <c r="C168" s="1643"/>
      <c r="D168" s="358"/>
      <c r="K168" s="1167"/>
      <c r="L168" s="1643"/>
      <c r="M168" s="1643"/>
      <c r="N168" s="1167"/>
      <c r="O168" s="1167"/>
      <c r="P168" s="1167"/>
      <c r="Q168" s="1167"/>
      <c r="R168" s="1643"/>
      <c r="S168" s="1167"/>
      <c r="T168" s="1167"/>
      <c r="U168" s="551"/>
      <c r="V168" s="1167"/>
      <c r="W168" s="1167"/>
      <c r="X168" s="1167"/>
      <c r="Y168" s="1167"/>
      <c r="Z168" s="1167"/>
      <c r="AA168" s="1639"/>
      <c r="AB168" s="573"/>
      <c r="AC168" s="573"/>
      <c r="AD168" s="573"/>
      <c r="AE168" s="573"/>
      <c r="AF168" s="1648">
        <v>11</v>
      </c>
    </row>
    <row s="1648" customFormat="1" customHeight="1" ht="11.549999999999999">
      <c r="A169" s="994"/>
      <c r="B169" s="1643"/>
      <c r="C169" s="1643"/>
      <c r="D169" s="358"/>
      <c r="K169" s="1167"/>
      <c r="L169" s="1643"/>
      <c r="M169" s="1643"/>
      <c r="N169" s="1167"/>
      <c r="O169" s="1167"/>
      <c r="P169" s="1167"/>
      <c r="Q169" s="1167"/>
      <c r="R169" s="1643"/>
      <c r="S169" s="1167"/>
      <c r="T169" s="1167"/>
      <c r="U169" s="551"/>
      <c r="V169" s="1167"/>
      <c r="W169" s="1167"/>
      <c r="X169" s="1167"/>
      <c r="Y169" s="1167"/>
      <c r="Z169" s="1167"/>
      <c r="AA169" s="1639"/>
      <c r="AB169" s="573"/>
      <c r="AC169" s="573"/>
      <c r="AD169" s="573"/>
      <c r="AE169" s="573"/>
      <c r="AF169" s="1648">
        <v>11</v>
      </c>
    </row>
    <row s="1648" customFormat="1" customHeight="1" ht="11.549999999999999">
      <c r="A170" s="994"/>
      <c r="B170" s="1643"/>
      <c r="C170" s="1643"/>
      <c r="D170" s="358"/>
      <c r="K170" s="1167"/>
      <c r="L170" s="1643"/>
      <c r="M170" s="1643"/>
      <c r="N170" s="1167"/>
      <c r="O170" s="1167"/>
      <c r="P170" s="1167"/>
      <c r="Q170" s="1167"/>
      <c r="R170" s="1643"/>
      <c r="S170" s="1167"/>
      <c r="T170" s="1167"/>
      <c r="U170" s="551"/>
      <c r="V170" s="1167"/>
      <c r="W170" s="1167"/>
      <c r="X170" s="1167"/>
      <c r="Y170" s="1167"/>
      <c r="Z170" s="1167"/>
      <c r="AA170" s="1639"/>
      <c r="AB170" s="573"/>
      <c r="AC170" s="573"/>
      <c r="AD170" s="573"/>
      <c r="AE170" s="573"/>
      <c r="AF170" s="1648">
        <v>11</v>
      </c>
    </row>
    <row s="1648" customFormat="1" customHeight="1" ht="11.549999999999999">
      <c r="A171" s="994"/>
      <c r="B171" s="1643"/>
      <c r="C171" s="1643"/>
      <c r="D171" s="358"/>
      <c r="K171" s="1167"/>
      <c r="L171" s="1643"/>
      <c r="M171" s="1643"/>
      <c r="N171" s="1167"/>
      <c r="O171" s="1167"/>
      <c r="P171" s="1167"/>
      <c r="Q171" s="1167"/>
      <c r="R171" s="1643"/>
      <c r="S171" s="1167"/>
      <c r="T171" s="1167"/>
      <c r="U171" s="551"/>
      <c r="V171" s="1167"/>
      <c r="W171" s="1167"/>
      <c r="X171" s="1167"/>
      <c r="Y171" s="1167"/>
      <c r="Z171" s="1167"/>
      <c r="AA171" s="1639"/>
      <c r="AB171" s="573"/>
      <c r="AC171" s="573"/>
      <c r="AD171" s="573"/>
      <c r="AE171" s="573"/>
      <c r="AF171" s="1648">
        <v>11</v>
      </c>
    </row>
    <row s="1648" customFormat="1" customHeight="1" ht="11.549999999999999">
      <c r="A172" s="994"/>
      <c r="B172" s="1643"/>
      <c r="C172" s="1643"/>
      <c r="D172" s="358"/>
      <c r="K172" s="1167"/>
      <c r="L172" s="1643"/>
      <c r="M172" s="1643"/>
      <c r="N172" s="1167"/>
      <c r="O172" s="1167"/>
      <c r="P172" s="1167"/>
      <c r="Q172" s="1167"/>
      <c r="R172" s="1643"/>
      <c r="S172" s="1167"/>
      <c r="T172" s="1167"/>
      <c r="U172" s="551"/>
      <c r="V172" s="1167"/>
      <c r="W172" s="1167"/>
      <c r="X172" s="1167"/>
      <c r="Y172" s="1167"/>
      <c r="Z172" s="1167"/>
      <c r="AA172" s="1639"/>
      <c r="AB172" s="573"/>
      <c r="AC172" s="573"/>
      <c r="AD172" s="573"/>
      <c r="AE172" s="573"/>
      <c r="AF172" s="1648">
        <v>11</v>
      </c>
    </row>
    <row s="1648" customFormat="1" customHeight="1" ht="11.549999999999999">
      <c r="A173" s="994"/>
      <c r="B173" s="1643"/>
      <c r="C173" s="1643"/>
      <c r="D173" s="358"/>
      <c r="K173" s="1167"/>
      <c r="L173" s="1643"/>
      <c r="M173" s="1643"/>
      <c r="N173" s="1167"/>
      <c r="O173" s="1167"/>
      <c r="P173" s="1167"/>
      <c r="Q173" s="1167"/>
      <c r="R173" s="1643"/>
      <c r="S173" s="1167"/>
      <c r="T173" s="1167"/>
      <c r="U173" s="551"/>
      <c r="V173" s="1167"/>
      <c r="W173" s="1167"/>
      <c r="X173" s="1167"/>
      <c r="Y173" s="1167"/>
      <c r="Z173" s="1167"/>
      <c r="AA173" s="1639"/>
      <c r="AB173" s="573"/>
      <c r="AC173" s="573"/>
      <c r="AD173" s="573"/>
      <c r="AE173" s="573"/>
      <c r="AF173" s="1648">
        <v>11</v>
      </c>
    </row>
    <row s="1648" customFormat="1" customHeight="1" ht="11.549999999999999">
      <c r="A174" s="994"/>
      <c r="B174" s="1643"/>
      <c r="C174" s="1643"/>
      <c r="D174" s="358"/>
      <c r="K174" s="1167"/>
      <c r="L174" s="1643"/>
      <c r="M174" s="1643"/>
      <c r="N174" s="1167"/>
      <c r="O174" s="1167"/>
      <c r="P174" s="1167"/>
      <c r="Q174" s="1167"/>
      <c r="R174" s="1643"/>
      <c r="S174" s="1167"/>
      <c r="T174" s="1167"/>
      <c r="U174" s="551"/>
      <c r="V174" s="1167"/>
      <c r="W174" s="1167"/>
      <c r="X174" s="1167"/>
      <c r="Y174" s="1167"/>
      <c r="Z174" s="1167"/>
      <c r="AA174" s="1639"/>
      <c r="AB174" s="573"/>
      <c r="AC174" s="573"/>
      <c r="AD174" s="573"/>
      <c r="AE174" s="573"/>
      <c r="AF174" s="1648">
        <v>11</v>
      </c>
    </row>
    <row s="1648" customFormat="1" customHeight="1" ht="11.549999999999999">
      <c r="A175" s="994"/>
      <c r="B175" s="1643"/>
      <c r="C175" s="1643"/>
      <c r="D175" s="358"/>
      <c r="K175" s="1167"/>
      <c r="L175" s="1643"/>
      <c r="M175" s="1643"/>
      <c r="N175" s="1167"/>
      <c r="O175" s="1167"/>
      <c r="P175" s="1167"/>
      <c r="Q175" s="1167"/>
      <c r="R175" s="1643"/>
      <c r="S175" s="1167"/>
      <c r="T175" s="1167"/>
      <c r="U175" s="551"/>
      <c r="V175" s="1167"/>
      <c r="W175" s="1167"/>
      <c r="X175" s="1167"/>
      <c r="Y175" s="1167"/>
      <c r="Z175" s="1167"/>
      <c r="AA175" s="1639"/>
      <c r="AB175" s="573"/>
      <c r="AC175" s="573"/>
      <c r="AD175" s="573"/>
      <c r="AE175" s="573"/>
      <c r="AF175" s="1648">
        <v>11</v>
      </c>
    </row>
    <row s="1648" customFormat="1" customHeight="1" ht="11.549999999999999">
      <c r="A176" s="994"/>
      <c r="B176" s="1643"/>
      <c r="C176" s="1643"/>
      <c r="D176" s="358"/>
      <c r="K176" s="1167"/>
      <c r="L176" s="1643"/>
      <c r="M176" s="1643"/>
      <c r="N176" s="1167"/>
      <c r="O176" s="1167"/>
      <c r="P176" s="1167"/>
      <c r="Q176" s="1167"/>
      <c r="R176" s="1643"/>
      <c r="S176" s="1167"/>
      <c r="T176" s="1167"/>
      <c r="U176" s="551"/>
      <c r="V176" s="1167"/>
      <c r="W176" s="1167"/>
      <c r="X176" s="1167"/>
      <c r="Y176" s="1167"/>
      <c r="Z176" s="1167"/>
      <c r="AA176" s="1639"/>
      <c r="AB176" s="573"/>
      <c r="AC176" s="573"/>
      <c r="AD176" s="573"/>
      <c r="AE176" s="573"/>
      <c r="AF176" s="1648">
        <v>11</v>
      </c>
    </row>
    <row s="1648" customFormat="1" customHeight="1" ht="11.549999999999999">
      <c r="A177" s="994"/>
      <c r="B177" s="1643"/>
      <c r="C177" s="1643"/>
      <c r="D177" s="358"/>
      <c r="K177" s="1167"/>
      <c r="L177" s="1643"/>
      <c r="M177" s="1643"/>
      <c r="N177" s="1167"/>
      <c r="O177" s="1167"/>
      <c r="P177" s="1167"/>
      <c r="Q177" s="1167"/>
      <c r="R177" s="1643"/>
      <c r="S177" s="1167"/>
      <c r="T177" s="1167"/>
      <c r="U177" s="551"/>
      <c r="V177" s="1167"/>
      <c r="W177" s="1167"/>
      <c r="X177" s="1167"/>
      <c r="Y177" s="1167"/>
      <c r="Z177" s="1167"/>
      <c r="AA177" s="1639"/>
      <c r="AB177" s="573"/>
      <c r="AC177" s="573"/>
      <c r="AD177" s="573"/>
      <c r="AE177" s="573"/>
      <c r="AF177" s="1648">
        <v>11</v>
      </c>
    </row>
    <row s="1648" customFormat="1" customHeight="1" ht="11.549999999999999">
      <c r="A178" s="994"/>
      <c r="B178" s="1643"/>
      <c r="C178" s="1643"/>
      <c r="D178" s="358"/>
      <c r="K178" s="1167"/>
      <c r="L178" s="1643"/>
      <c r="M178" s="1643"/>
      <c r="N178" s="1167"/>
      <c r="O178" s="1167"/>
      <c r="P178" s="1167"/>
      <c r="Q178" s="1167"/>
      <c r="R178" s="1643"/>
      <c r="S178" s="1167"/>
      <c r="T178" s="1167"/>
      <c r="U178" s="551"/>
      <c r="V178" s="1167"/>
      <c r="W178" s="1167"/>
      <c r="X178" s="1167"/>
      <c r="Y178" s="1167"/>
      <c r="Z178" s="1167"/>
      <c r="AA178" s="1639"/>
      <c r="AB178" s="573"/>
      <c r="AC178" s="573"/>
      <c r="AD178" s="573"/>
      <c r="AE178" s="573"/>
      <c r="AF178" s="1648">
        <v>11</v>
      </c>
    </row>
    <row s="1648" customFormat="1" customHeight="1" ht="11.549999999999999">
      <c r="A179" s="994"/>
      <c r="B179" s="1643"/>
      <c r="C179" s="1643"/>
      <c r="D179" s="358"/>
      <c r="K179" s="1167"/>
      <c r="L179" s="1643"/>
      <c r="M179" s="1643"/>
      <c r="N179" s="1167"/>
      <c r="O179" s="1167"/>
      <c r="P179" s="1167"/>
      <c r="Q179" s="1167"/>
      <c r="R179" s="1643"/>
      <c r="S179" s="1167"/>
      <c r="T179" s="1167"/>
      <c r="U179" s="551"/>
      <c r="V179" s="1167"/>
      <c r="W179" s="1167"/>
      <c r="X179" s="1167"/>
      <c r="Y179" s="1167"/>
      <c r="Z179" s="1167"/>
      <c r="AA179" s="1639"/>
      <c r="AB179" s="573"/>
      <c r="AC179" s="573"/>
      <c r="AD179" s="573"/>
      <c r="AE179" s="573"/>
      <c r="AF179" s="1648">
        <v>11</v>
      </c>
    </row>
    <row s="1648" customFormat="1" customHeight="1" ht="11.549999999999999">
      <c r="A180" s="994"/>
      <c r="B180" s="1643"/>
      <c r="C180" s="1643"/>
      <c r="D180" s="358"/>
      <c r="K180" s="1167"/>
      <c r="L180" s="1643"/>
      <c r="M180" s="1643"/>
      <c r="N180" s="1167"/>
      <c r="O180" s="1167"/>
      <c r="P180" s="1167"/>
      <c r="Q180" s="1167"/>
      <c r="R180" s="1643"/>
      <c r="S180" s="1167"/>
      <c r="T180" s="1167"/>
      <c r="U180" s="551"/>
      <c r="V180" s="1167"/>
      <c r="W180" s="1167"/>
      <c r="X180" s="1167"/>
      <c r="Y180" s="1167"/>
      <c r="Z180" s="1167"/>
      <c r="AA180" s="1639"/>
      <c r="AB180" s="573"/>
      <c r="AC180" s="573"/>
      <c r="AD180" s="573"/>
      <c r="AE180" s="573"/>
      <c r="AF180" s="1648">
        <v>11</v>
      </c>
    </row>
    <row s="1648" customFormat="1" customHeight="1" ht="11.549999999999999">
      <c r="A181" s="994"/>
      <c r="B181" s="1643"/>
      <c r="C181" s="1643"/>
      <c r="D181" s="358"/>
      <c r="K181" s="1167"/>
      <c r="L181" s="1643"/>
      <c r="M181" s="1643"/>
      <c r="N181" s="1167"/>
      <c r="O181" s="1167"/>
      <c r="P181" s="1167"/>
      <c r="Q181" s="1167"/>
      <c r="R181" s="1643"/>
      <c r="S181" s="1167"/>
      <c r="T181" s="1167"/>
      <c r="U181" s="551"/>
      <c r="V181" s="1167"/>
      <c r="W181" s="1167"/>
      <c r="X181" s="1167"/>
      <c r="Y181" s="1167"/>
      <c r="Z181" s="1167"/>
      <c r="AA181" s="1639"/>
      <c r="AB181" s="573"/>
      <c r="AC181" s="573"/>
      <c r="AD181" s="573"/>
      <c r="AE181" s="573"/>
      <c r="AF181" s="1648">
        <v>11</v>
      </c>
    </row>
    <row s="1648" customFormat="1" customHeight="1" ht="11.549999999999999">
      <c r="A182" s="994"/>
      <c r="B182" s="1643"/>
      <c r="C182" s="1643"/>
      <c r="D182" s="358"/>
      <c r="K182" s="1167"/>
      <c r="L182" s="1643"/>
      <c r="M182" s="1643"/>
      <c r="N182" s="1167"/>
      <c r="O182" s="1167"/>
      <c r="P182" s="1167"/>
      <c r="Q182" s="1167"/>
      <c r="R182" s="1643"/>
      <c r="S182" s="1167"/>
      <c r="T182" s="1167"/>
      <c r="U182" s="551"/>
      <c r="V182" s="1167"/>
      <c r="W182" s="1167"/>
      <c r="X182" s="1167"/>
      <c r="Y182" s="1167"/>
      <c r="Z182" s="1167"/>
      <c r="AA182" s="1639"/>
      <c r="AB182" s="573"/>
      <c r="AC182" s="573"/>
      <c r="AD182" s="573"/>
      <c r="AE182" s="573"/>
      <c r="AF182" s="1648">
        <v>11</v>
      </c>
    </row>
    <row s="1648" customFormat="1" customHeight="1" ht="11.549999999999999">
      <c r="A183" s="994"/>
      <c r="B183" s="1643"/>
      <c r="C183" s="1643"/>
      <c r="D183" s="358"/>
      <c r="K183" s="1167"/>
      <c r="L183" s="1643"/>
      <c r="M183" s="1643"/>
      <c r="N183" s="1167"/>
      <c r="O183" s="1167"/>
      <c r="P183" s="1167"/>
      <c r="Q183" s="1167"/>
      <c r="R183" s="1643"/>
      <c r="S183" s="1167"/>
      <c r="T183" s="1167"/>
      <c r="U183" s="551"/>
      <c r="V183" s="1167"/>
      <c r="W183" s="1167"/>
      <c r="X183" s="1167"/>
      <c r="Y183" s="1167"/>
      <c r="Z183" s="1167"/>
      <c r="AA183" s="1639"/>
      <c r="AB183" s="573"/>
      <c r="AC183" s="573"/>
      <c r="AD183" s="573"/>
      <c r="AE183" s="573"/>
      <c r="AF183" s="1648">
        <v>11</v>
      </c>
    </row>
    <row s="1648" customFormat="1" customHeight="1" ht="11.549999999999999">
      <c r="A184" s="994"/>
      <c r="B184" s="1643"/>
      <c r="C184" s="1643"/>
      <c r="D184" s="358"/>
      <c r="K184" s="1167"/>
      <c r="L184" s="1643"/>
      <c r="M184" s="1643"/>
      <c r="N184" s="1167"/>
      <c r="O184" s="1167"/>
      <c r="P184" s="1167"/>
      <c r="Q184" s="1167"/>
      <c r="R184" s="1643"/>
      <c r="S184" s="1167"/>
      <c r="T184" s="1167"/>
      <c r="U184" s="551"/>
      <c r="V184" s="1167"/>
      <c r="W184" s="1167"/>
      <c r="X184" s="1167"/>
      <c r="Y184" s="1167"/>
      <c r="Z184" s="1167"/>
      <c r="AA184" s="1639"/>
      <c r="AB184" s="573"/>
      <c r="AC184" s="573"/>
      <c r="AD184" s="573"/>
      <c r="AE184" s="573"/>
      <c r="AF184" s="1648">
        <v>11</v>
      </c>
    </row>
    <row s="1648" customFormat="1" customHeight="1" ht="11.549999999999999">
      <c r="A185" s="994"/>
      <c r="B185" s="1643"/>
      <c r="C185" s="1643"/>
      <c r="D185" s="358"/>
      <c r="K185" s="1167"/>
      <c r="L185" s="1643"/>
      <c r="M185" s="1643"/>
      <c r="N185" s="1167"/>
      <c r="O185" s="1167"/>
      <c r="P185" s="1167"/>
      <c r="Q185" s="1167"/>
      <c r="R185" s="1643"/>
      <c r="S185" s="1167"/>
      <c r="T185" s="1167"/>
      <c r="U185" s="551"/>
      <c r="V185" s="1167"/>
      <c r="W185" s="1167"/>
      <c r="X185" s="1167"/>
      <c r="Y185" s="1167"/>
      <c r="Z185" s="1167"/>
      <c r="AA185" s="1639"/>
      <c r="AB185" s="573"/>
      <c r="AC185" s="573"/>
      <c r="AD185" s="573"/>
      <c r="AE185" s="573"/>
      <c r="AF185" s="1648">
        <v>11</v>
      </c>
    </row>
    <row s="1648" customFormat="1" customHeight="1" ht="11.549999999999999">
      <c r="A186" s="994"/>
      <c r="B186" s="1643"/>
      <c r="C186" s="1643"/>
      <c r="D186" s="358"/>
      <c r="K186" s="1167"/>
      <c r="L186" s="1643"/>
      <c r="M186" s="1643"/>
      <c r="N186" s="1167"/>
      <c r="O186" s="1167"/>
      <c r="P186" s="1167"/>
      <c r="Q186" s="1167"/>
      <c r="R186" s="1643"/>
      <c r="S186" s="1167"/>
      <c r="T186" s="1167"/>
      <c r="U186" s="551"/>
      <c r="V186" s="1167"/>
      <c r="W186" s="1167"/>
      <c r="X186" s="1167"/>
      <c r="Y186" s="1167"/>
      <c r="Z186" s="1167"/>
      <c r="AA186" s="1639"/>
      <c r="AB186" s="573"/>
      <c r="AC186" s="573"/>
      <c r="AD186" s="573"/>
      <c r="AE186" s="573"/>
      <c r="AF186" s="1648">
        <v>11</v>
      </c>
    </row>
    <row s="1648" customFormat="1" customHeight="1" ht="11.549999999999999">
      <c r="A187" s="994"/>
      <c r="B187" s="1643"/>
      <c r="C187" s="1643"/>
      <c r="D187" s="358"/>
      <c r="K187" s="1167"/>
      <c r="L187" s="1643"/>
      <c r="M187" s="1643"/>
      <c r="N187" s="1167"/>
      <c r="O187" s="1167"/>
      <c r="P187" s="1167"/>
      <c r="Q187" s="1167"/>
      <c r="R187" s="1643"/>
      <c r="S187" s="1167"/>
      <c r="T187" s="1167"/>
      <c r="U187" s="551"/>
      <c r="V187" s="1167"/>
      <c r="W187" s="1167"/>
      <c r="X187" s="1167"/>
      <c r="Y187" s="1167"/>
      <c r="Z187" s="1167"/>
      <c r="AA187" s="1639"/>
      <c r="AB187" s="573"/>
      <c r="AC187" s="573"/>
      <c r="AD187" s="573"/>
      <c r="AE187" s="573"/>
      <c r="AF187" s="1648">
        <v>11</v>
      </c>
    </row>
    <row s="1648" customFormat="1" customHeight="1" ht="11.549999999999999">
      <c r="A188" s="994"/>
      <c r="B188" s="1643"/>
      <c r="C188" s="1643"/>
      <c r="D188" s="358"/>
      <c r="K188" s="1167"/>
      <c r="L188" s="1643"/>
      <c r="M188" s="1643"/>
      <c r="N188" s="1167"/>
      <c r="O188" s="1167"/>
      <c r="P188" s="1167"/>
      <c r="Q188" s="1167"/>
      <c r="R188" s="1643"/>
      <c r="S188" s="1167"/>
      <c r="T188" s="1167"/>
      <c r="U188" s="551"/>
      <c r="V188" s="1167"/>
      <c r="W188" s="1167"/>
      <c r="X188" s="1167"/>
      <c r="Y188" s="1167"/>
      <c r="Z188" s="1167"/>
      <c r="AA188" s="1639"/>
      <c r="AB188" s="573"/>
      <c r="AC188" s="573"/>
      <c r="AD188" s="573"/>
      <c r="AE188" s="573"/>
      <c r="AF188" s="1648">
        <v>11</v>
      </c>
    </row>
    <row s="1648" customFormat="1" customHeight="1" ht="11.549999999999999">
      <c r="A189" s="994"/>
      <c r="B189" s="1643"/>
      <c r="C189" s="1643"/>
      <c r="D189" s="358"/>
      <c r="K189" s="1167"/>
      <c r="L189" s="1643"/>
      <c r="M189" s="1643"/>
      <c r="N189" s="1167"/>
      <c r="O189" s="1167"/>
      <c r="P189" s="1167"/>
      <c r="Q189" s="1167"/>
      <c r="R189" s="1643"/>
      <c r="S189" s="1167"/>
      <c r="T189" s="1167"/>
      <c r="U189" s="551"/>
      <c r="V189" s="1167"/>
      <c r="W189" s="1167"/>
      <c r="X189" s="1167"/>
      <c r="Y189" s="1167"/>
      <c r="Z189" s="1167"/>
      <c r="AA189" s="1639"/>
      <c r="AB189" s="573"/>
      <c r="AC189" s="573"/>
      <c r="AD189" s="573"/>
      <c r="AE189" s="573"/>
      <c r="AF189" s="1648">
        <v>11</v>
      </c>
    </row>
    <row s="1648" customFormat="1" customHeight="1" ht="11.549999999999999">
      <c r="A190" s="994"/>
      <c r="B190" s="1643"/>
      <c r="C190" s="1643"/>
      <c r="D190" s="358"/>
      <c r="K190" s="1167"/>
      <c r="L190" s="1643"/>
      <c r="M190" s="1643"/>
      <c r="N190" s="1167"/>
      <c r="O190" s="1167"/>
      <c r="P190" s="1167"/>
      <c r="Q190" s="1167"/>
      <c r="R190" s="1643"/>
      <c r="S190" s="1167"/>
      <c r="T190" s="1167"/>
      <c r="U190" s="551"/>
      <c r="V190" s="1167"/>
      <c r="W190" s="1167"/>
      <c r="X190" s="1167"/>
      <c r="Y190" s="1167"/>
      <c r="Z190" s="1167"/>
      <c r="AA190" s="1639"/>
      <c r="AB190" s="573"/>
      <c r="AC190" s="573"/>
      <c r="AD190" s="573"/>
      <c r="AE190" s="573"/>
      <c r="AF190" s="1648">
        <v>11</v>
      </c>
    </row>
    <row s="1648" customFormat="1" customHeight="1" ht="11.549999999999999">
      <c r="A191" s="994"/>
      <c r="B191" s="1643"/>
      <c r="C191" s="1643"/>
      <c r="D191" s="358"/>
      <c r="K191" s="1167"/>
      <c r="L191" s="1643"/>
      <c r="M191" s="1643"/>
      <c r="N191" s="1167"/>
      <c r="O191" s="1167"/>
      <c r="P191" s="1167"/>
      <c r="Q191" s="1167"/>
      <c r="R191" s="1643"/>
      <c r="S191" s="1167"/>
      <c r="T191" s="1167"/>
      <c r="U191" s="551"/>
      <c r="V191" s="1167"/>
      <c r="W191" s="1167"/>
      <c r="X191" s="1167"/>
      <c r="Y191" s="1167"/>
      <c r="Z191" s="1167"/>
      <c r="AA191" s="1639"/>
      <c r="AB191" s="573"/>
      <c r="AC191" s="573"/>
      <c r="AD191" s="573"/>
      <c r="AE191" s="573"/>
      <c r="AF191" s="1648">
        <v>11</v>
      </c>
    </row>
    <row s="1648" customFormat="1" customHeight="1" ht="11.549999999999999">
      <c r="A192" s="994"/>
      <c r="B192" s="1643"/>
      <c r="C192" s="1643"/>
      <c r="D192" s="358"/>
      <c r="K192" s="1167"/>
      <c r="L192" s="1643"/>
      <c r="M192" s="1643"/>
      <c r="N192" s="1167"/>
      <c r="O192" s="1167"/>
      <c r="P192" s="1167"/>
      <c r="Q192" s="1167"/>
      <c r="R192" s="1643"/>
      <c r="S192" s="1167"/>
      <c r="T192" s="1167"/>
      <c r="U192" s="551"/>
      <c r="V192" s="1167"/>
      <c r="W192" s="1167"/>
      <c r="X192" s="1167"/>
      <c r="Y192" s="1167"/>
      <c r="Z192" s="1167"/>
      <c r="AA192" s="1639"/>
      <c r="AB192" s="573"/>
      <c r="AC192" s="573"/>
      <c r="AD192" s="573"/>
      <c r="AE192" s="573"/>
      <c r="AF192" s="1648">
        <v>11</v>
      </c>
    </row>
    <row s="1648" customFormat="1" customHeight="1" ht="11.549999999999999">
      <c r="A193" s="994"/>
      <c r="B193" s="1643"/>
      <c r="C193" s="1643"/>
      <c r="D193" s="358"/>
      <c r="K193" s="1167"/>
      <c r="L193" s="1643"/>
      <c r="M193" s="1643"/>
      <c r="N193" s="1167"/>
      <c r="O193" s="1167"/>
      <c r="P193" s="1167"/>
      <c r="Q193" s="1167"/>
      <c r="R193" s="1643"/>
      <c r="S193" s="1167"/>
      <c r="T193" s="1167"/>
      <c r="U193" s="551"/>
      <c r="V193" s="1167"/>
      <c r="W193" s="1167"/>
      <c r="X193" s="1167"/>
      <c r="Y193" s="1167"/>
      <c r="Z193" s="1167"/>
      <c r="AA193" s="1639"/>
      <c r="AB193" s="573"/>
      <c r="AC193" s="573"/>
      <c r="AD193" s="573"/>
      <c r="AE193" s="573"/>
      <c r="AF193" s="1648">
        <v>11</v>
      </c>
    </row>
    <row s="1648" customFormat="1" customHeight="1" ht="11.549999999999999">
      <c r="A194" s="994"/>
      <c r="B194" s="1643"/>
      <c r="C194" s="1643"/>
      <c r="D194" s="358"/>
      <c r="K194" s="1167"/>
      <c r="L194" s="1643"/>
      <c r="M194" s="1643"/>
      <c r="N194" s="1167"/>
      <c r="O194" s="1167"/>
      <c r="P194" s="1167"/>
      <c r="Q194" s="1167"/>
      <c r="R194" s="1643"/>
      <c r="S194" s="1167"/>
      <c r="T194" s="1167"/>
      <c r="U194" s="551"/>
      <c r="V194" s="1167"/>
      <c r="W194" s="1167"/>
      <c r="X194" s="1167"/>
      <c r="Y194" s="1167"/>
      <c r="Z194" s="1167"/>
      <c r="AA194" s="1639"/>
      <c r="AB194" s="573"/>
      <c r="AC194" s="573"/>
      <c r="AD194" s="573"/>
      <c r="AE194" s="573"/>
      <c r="AF194" s="1648">
        <v>11</v>
      </c>
    </row>
    <row s="1648" customFormat="1" customHeight="1" ht="11.549999999999999">
      <c r="A195" s="994"/>
      <c r="B195" s="1643"/>
      <c r="C195" s="1643"/>
      <c r="D195" s="358"/>
      <c r="K195" s="1167"/>
      <c r="L195" s="1643"/>
      <c r="M195" s="1643"/>
      <c r="N195" s="1167"/>
      <c r="O195" s="1167"/>
      <c r="P195" s="1167"/>
      <c r="Q195" s="1167"/>
      <c r="R195" s="1643"/>
      <c r="S195" s="1167"/>
      <c r="T195" s="1167"/>
      <c r="U195" s="551"/>
      <c r="V195" s="1167"/>
      <c r="W195" s="1167"/>
      <c r="X195" s="1167"/>
      <c r="Y195" s="1167"/>
      <c r="Z195" s="1167"/>
      <c r="AA195" s="1639"/>
      <c r="AB195" s="573"/>
      <c r="AC195" s="573"/>
      <c r="AD195" s="573"/>
      <c r="AE195" s="573"/>
      <c r="AF195" s="1648">
        <v>11</v>
      </c>
    </row>
    <row customHeight="1" ht="11.549999999999999">
      <c r="AF196" s="1638">
        <v>11</v>
      </c>
    </row>
    <row customHeight="1" ht="11.549999999999999">
      <c r="AF197" s="1638">
        <v>11</v>
      </c>
    </row>
    <row customHeight="1" ht="11.549999999999999">
      <c r="AF198" s="1638">
        <v>11</v>
      </c>
    </row>
    <row customHeight="1" ht="11.549999999999999">
      <c r="A199" s="997"/>
      <c r="B199" s="1638"/>
      <c r="D199" s="1638"/>
      <c r="K199" s="1638"/>
      <c r="N199" s="1638"/>
      <c r="O199" s="1638"/>
      <c r="P199" s="1638"/>
      <c r="Q199" s="1638"/>
      <c r="S199" s="1638"/>
      <c r="T199" s="1638"/>
      <c r="U199" s="1638"/>
      <c r="V199" s="1638"/>
      <c r="W199" s="1638"/>
      <c r="X199" s="1638"/>
      <c r="Y199" s="1638"/>
      <c r="Z199" s="1638"/>
      <c r="AA199" s="1638"/>
      <c r="AB199" s="1638"/>
      <c r="AC199" s="1638"/>
      <c r="AD199" s="1638"/>
      <c r="AE199" s="1638"/>
      <c r="AF199" s="1638">
        <v>11</v>
      </c>
    </row>
    <row customHeight="1" ht="11.549999999999999">
      <c r="A200" s="997"/>
      <c r="B200" s="1638"/>
      <c r="D200" s="1638"/>
      <c r="K200" s="1638"/>
      <c r="N200" s="1638"/>
      <c r="O200" s="1638"/>
      <c r="P200" s="1638"/>
      <c r="Q200" s="1638"/>
      <c r="S200" s="1638"/>
      <c r="T200" s="1638"/>
      <c r="U200" s="1638"/>
      <c r="V200" s="1638"/>
      <c r="W200" s="1638"/>
      <c r="X200" s="1638"/>
      <c r="Y200" s="1638"/>
      <c r="Z200" s="1638"/>
      <c r="AA200" s="1638"/>
      <c r="AB200" s="1638"/>
      <c r="AC200" s="1638"/>
      <c r="AD200" s="1638"/>
      <c r="AE200" s="1638"/>
      <c r="AF200" s="1638">
        <v>11</v>
      </c>
    </row>
    <row customHeight="1" ht="11.549999999999999">
      <c r="A201" s="997"/>
      <c r="B201" s="1638"/>
      <c r="D201" s="1638"/>
      <c r="K201" s="1638"/>
      <c r="N201" s="1638"/>
      <c r="O201" s="1638"/>
      <c r="P201" s="1638"/>
      <c r="Q201" s="1638"/>
      <c r="S201" s="1638"/>
      <c r="T201" s="1638"/>
      <c r="U201" s="1638"/>
      <c r="V201" s="1638"/>
      <c r="W201" s="1638"/>
      <c r="X201" s="1638"/>
      <c r="Y201" s="1638"/>
      <c r="Z201" s="1638"/>
      <c r="AA201" s="1638"/>
      <c r="AB201" s="1638"/>
      <c r="AC201" s="1638"/>
      <c r="AD201" s="1638"/>
      <c r="AE201" s="1638"/>
      <c r="AF201" s="1638">
        <v>11</v>
      </c>
    </row>
    <row customHeight="1" ht="11.549999999999999">
      <c r="A202" s="997"/>
      <c r="B202" s="1638"/>
      <c r="D202" s="1638"/>
      <c r="K202" s="1638"/>
      <c r="N202" s="1638"/>
      <c r="O202" s="1638"/>
      <c r="P202" s="1638"/>
      <c r="Q202" s="1638"/>
      <c r="S202" s="1638"/>
      <c r="T202" s="1638"/>
      <c r="U202" s="1638"/>
      <c r="V202" s="1638"/>
      <c r="W202" s="1638"/>
      <c r="X202" s="1638"/>
      <c r="Y202" s="1638"/>
      <c r="Z202" s="1638"/>
      <c r="AA202" s="1638"/>
      <c r="AB202" s="1638"/>
      <c r="AC202" s="1638"/>
      <c r="AD202" s="1638"/>
      <c r="AE202" s="1638"/>
      <c r="AF202" s="1638">
        <v>11</v>
      </c>
    </row>
    <row customHeight="1" ht="11.549999999999999">
      <c r="A203" s="997"/>
      <c r="B203" s="1638"/>
      <c r="D203" s="1638"/>
      <c r="K203" s="1638"/>
      <c r="N203" s="1638"/>
      <c r="O203" s="1638"/>
      <c r="P203" s="1638"/>
      <c r="Q203" s="1638"/>
      <c r="S203" s="1638"/>
      <c r="T203" s="1638"/>
      <c r="U203" s="1638"/>
      <c r="V203" s="1638"/>
      <c r="W203" s="1638"/>
      <c r="X203" s="1638"/>
      <c r="Y203" s="1638"/>
      <c r="Z203" s="1638"/>
      <c r="AA203" s="1638"/>
      <c r="AB203" s="1638"/>
      <c r="AC203" s="1638"/>
      <c r="AD203" s="1638"/>
      <c r="AE203" s="1638"/>
      <c r="AF203" s="1638">
        <v>11</v>
      </c>
    </row>
    <row customHeight="1" ht="11.549999999999999">
      <c r="A204" s="997"/>
      <c r="B204" s="1638"/>
      <c r="D204" s="1638"/>
      <c r="K204" s="1638"/>
      <c r="N204" s="1638"/>
      <c r="O204" s="1638"/>
      <c r="P204" s="1638"/>
      <c r="Q204" s="1638"/>
      <c r="S204" s="1638"/>
      <c r="T204" s="1638"/>
      <c r="U204" s="1638"/>
      <c r="V204" s="1638"/>
      <c r="W204" s="1638"/>
      <c r="X204" s="1638"/>
      <c r="Y204" s="1638"/>
      <c r="Z204" s="1638"/>
      <c r="AA204" s="1638"/>
      <c r="AB204" s="1638"/>
      <c r="AC204" s="1638"/>
      <c r="AD204" s="1638"/>
      <c r="AE204" s="1638"/>
      <c r="AF204" s="1638">
        <v>11</v>
      </c>
    </row>
    <row customHeight="1" ht="11.549999999999999">
      <c r="A205" s="997"/>
      <c r="B205" s="1638"/>
      <c r="D205" s="1638"/>
      <c r="K205" s="1638"/>
      <c r="N205" s="1638"/>
      <c r="O205" s="1638"/>
      <c r="P205" s="1638"/>
      <c r="Q205" s="1638"/>
      <c r="S205" s="1638"/>
      <c r="T205" s="1638"/>
      <c r="U205" s="1638"/>
      <c r="V205" s="1638"/>
      <c r="W205" s="1638"/>
      <c r="X205" s="1638"/>
      <c r="Y205" s="1638"/>
      <c r="Z205" s="1638"/>
      <c r="AA205" s="1638"/>
      <c r="AB205" s="1638"/>
      <c r="AC205" s="1638"/>
      <c r="AD205" s="1638"/>
      <c r="AE205" s="1638"/>
      <c r="AF205" s="1638">
        <v>11</v>
      </c>
    </row>
    <row customHeight="1" ht="11.549999999999999">
      <c r="A206" s="997"/>
      <c r="B206" s="1638"/>
      <c r="D206" s="1638"/>
      <c r="K206" s="1638"/>
      <c r="N206" s="1638"/>
      <c r="O206" s="1638"/>
      <c r="P206" s="1638"/>
      <c r="Q206" s="1638"/>
      <c r="S206" s="1638"/>
      <c r="T206" s="1638"/>
      <c r="U206" s="1638"/>
      <c r="V206" s="1638"/>
      <c r="W206" s="1638"/>
      <c r="X206" s="1638"/>
      <c r="Y206" s="1638"/>
      <c r="Z206" s="1638"/>
      <c r="AA206" s="1638"/>
      <c r="AB206" s="1638"/>
      <c r="AC206" s="1638"/>
      <c r="AD206" s="1638"/>
      <c r="AE206" s="1638"/>
      <c r="AF206" s="1638">
        <v>11</v>
      </c>
    </row>
    <row customHeight="1" ht="11.549999999999999">
      <c r="A207" s="997"/>
      <c r="B207" s="1638"/>
      <c r="D207" s="1638"/>
      <c r="K207" s="1638"/>
      <c r="N207" s="1638"/>
      <c r="O207" s="1638"/>
      <c r="P207" s="1638"/>
      <c r="Q207" s="1638"/>
      <c r="S207" s="1638"/>
      <c r="T207" s="1638"/>
      <c r="U207" s="1638"/>
      <c r="V207" s="1638"/>
      <c r="W207" s="1638"/>
      <c r="X207" s="1638"/>
      <c r="Y207" s="1638"/>
      <c r="Z207" s="1638"/>
      <c r="AA207" s="1638"/>
      <c r="AB207" s="1638"/>
      <c r="AC207" s="1638"/>
      <c r="AD207" s="1638"/>
      <c r="AE207" s="1638"/>
      <c r="AF207" s="1638">
        <v>11</v>
      </c>
    </row>
    <row customHeight="1" ht="11.549999999999999">
      <c r="A208" s="997"/>
      <c r="B208" s="1638"/>
      <c r="D208" s="1638"/>
      <c r="K208" s="1638"/>
      <c r="N208" s="1638"/>
      <c r="O208" s="1638"/>
      <c r="P208" s="1638"/>
      <c r="Q208" s="1638"/>
      <c r="S208" s="1638"/>
      <c r="T208" s="1638"/>
      <c r="U208" s="1638"/>
      <c r="V208" s="1638"/>
      <c r="W208" s="1638"/>
      <c r="X208" s="1638"/>
      <c r="Y208" s="1638"/>
      <c r="Z208" s="1638"/>
      <c r="AA208" s="1638"/>
      <c r="AB208" s="1638"/>
      <c r="AC208" s="1638"/>
      <c r="AD208" s="1638"/>
      <c r="AE208" s="1638"/>
      <c r="AF208" s="1638">
        <v>11</v>
      </c>
    </row>
    <row customHeight="1" ht="11.549999999999999">
      <c r="A209" s="997"/>
      <c r="B209" s="1638"/>
      <c r="D209" s="1638"/>
      <c r="K209" s="1638"/>
      <c r="N209" s="1638"/>
      <c r="O209" s="1638"/>
      <c r="P209" s="1638"/>
      <c r="Q209" s="1638"/>
      <c r="S209" s="1638"/>
      <c r="T209" s="1638"/>
      <c r="U209" s="1638"/>
      <c r="V209" s="1638"/>
      <c r="W209" s="1638"/>
      <c r="X209" s="1638"/>
      <c r="Y209" s="1638"/>
      <c r="Z209" s="1638"/>
      <c r="AA209" s="1638"/>
      <c r="AB209" s="1638"/>
      <c r="AC209" s="1638"/>
      <c r="AD209" s="1638"/>
      <c r="AE209" s="1638"/>
      <c r="AF209" s="1638">
        <v>11</v>
      </c>
    </row>
    <row customHeight="1" ht="11.25" hidden="1">
      <c r="A210" s="994" t="s">
        <v>82</v>
      </c>
      <c r="B210" s="1167">
        <v>0</v>
      </c>
      <c r="C210" s="1643">
        <v>0</v>
      </c>
      <c r="D210" s="1642">
        <v>3</v>
      </c>
      <c r="E210" s="1638">
        <v>7</v>
      </c>
      <c r="F210" s="1638">
        <v>54</v>
      </c>
      <c r="G210" s="1638">
        <v>10</v>
      </c>
      <c r="H210" s="1638">
        <v>0</v>
      </c>
      <c r="I210" s="1638">
        <v>40</v>
      </c>
      <c r="J210" s="1638">
        <v>102</v>
      </c>
      <c r="K210" s="1167">
        <v>9</v>
      </c>
      <c r="L210" s="1643">
        <v>5</v>
      </c>
      <c r="M210" s="1643">
        <v>3</v>
      </c>
      <c r="N210" s="1167">
        <v>3</v>
      </c>
      <c r="O210" s="1167">
        <v>3</v>
      </c>
      <c r="P210" s="1167">
        <v>3</v>
      </c>
      <c r="Q210" s="1167">
        <v>3</v>
      </c>
      <c r="R210" s="1643">
        <v>10</v>
      </c>
      <c r="S210" s="1167">
        <v>34</v>
      </c>
      <c r="T210" s="1167">
        <v>9</v>
      </c>
      <c r="U210" s="551">
        <v>8</v>
      </c>
      <c r="V210" s="1167">
        <v>8</v>
      </c>
      <c r="W210" s="1167">
        <v>8</v>
      </c>
      <c r="X210" s="1167">
        <v>8</v>
      </c>
      <c r="Y210" s="1167">
        <v>8</v>
      </c>
      <c r="Z210" s="1167">
        <v>8</v>
      </c>
      <c r="AA210" s="1639">
        <v>8</v>
      </c>
      <c r="AB210" s="1639">
        <v>8</v>
      </c>
      <c r="AC210" s="1639">
        <v>8</v>
      </c>
      <c r="AD210" s="1639">
        <v>8</v>
      </c>
      <c r="AE210" s="1639">
        <v>8</v>
      </c>
      <c r="AF210" s="1638">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E8BF8F-4B41-91D9-6FD8-3F9884060CBA}"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73" width="9.140625" hidden="1" customWidth="1"/>
    <col min="2" max="2" style="1649" width="3.57421875" hidden="1" customWidth="1"/>
    <col min="3" max="3" style="1642" width="3.00390625" customWidth="1"/>
    <col min="4" max="4" style="1642" width="7.00390625" customWidth="1"/>
    <col min="5" max="5" style="1642" width="69.00390625" customWidth="1"/>
    <col min="6" max="6" style="1642" width="10.00390625" customWidth="1"/>
    <col min="7" max="8" style="1642" width="44.00390625" hidden="1" customWidth="1"/>
    <col min="9" max="9" style="1642" width="44.00390625" customWidth="1"/>
    <col min="10" max="10" style="1642" width="43.00390625" customWidth="1"/>
    <col min="11" max="11" style="1642" width="73.00390625" customWidth="1"/>
    <col min="12" max="12" style="1642" width="3.00390625" customWidth="1"/>
    <col min="13" max="23" style="1642" width="10.00390625" customWidth="1"/>
    <col min="24" max="24" style="1642" width="10.57421875" hidden="1"/>
  </cols>
  <sheetData>
    <row s="1373" customFormat="1" customHeight="1" ht="22.5" hidden="1">
      <c r="A1" s="543"/>
      <c r="B1" s="518"/>
      <c r="G1" s="424">
        <v>4</v>
      </c>
      <c r="I1" s="424">
        <v>4</v>
      </c>
      <c r="K1" s="424">
        <v>5</v>
      </c>
      <c r="X1" s="424" t="s">
        <v>14</v>
      </c>
    </row>
    <row customHeight="1" ht="3">
      <c r="X2" s="512">
        <v>3</v>
      </c>
    </row>
    <row customHeight="1" ht="78.75">
      <c r="D3" s="2245"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6"/>
      <c r="F3" s="2247"/>
      <c r="X3" s="512">
        <v>75</v>
      </c>
    </row>
    <row s="1642" customFormat="1" customHeight="1" ht="21">
      <c r="A4" s="958"/>
      <c r="B4" s="518"/>
      <c r="D4" s="2221" t="str">
        <f>IF(org=0,"Не определено",org)</f>
        <v>ГУП "Белоблводоканал"</v>
      </c>
      <c r="E4" s="2222"/>
      <c r="F4" s="2223"/>
      <c r="X4" s="765">
        <v>20</v>
      </c>
    </row>
    <row customHeight="1" ht="11.549999999999999">
      <c r="C5" s="516"/>
      <c r="D5" s="595"/>
      <c r="E5" s="595"/>
      <c r="F5" s="595"/>
      <c r="G5" s="595"/>
      <c r="H5" s="759"/>
      <c r="I5" s="595"/>
      <c r="J5" s="759"/>
      <c r="K5" s="595"/>
      <c r="X5" s="512">
        <v>11</v>
      </c>
    </row>
    <row customHeight="1" ht="1.05">
      <c r="C6" s="516"/>
      <c r="D6" s="516"/>
      <c r="E6" s="529"/>
      <c r="F6" s="621"/>
      <c r="G6" s="1029"/>
      <c r="H6" s="1029"/>
      <c r="I6" s="1029" t="s">
        <v>209</v>
      </c>
      <c r="J6" s="1029"/>
      <c r="X6" s="512">
        <v>1</v>
      </c>
    </row>
    <row customHeight="1" ht="11.549999999999999">
      <c r="D7" s="718"/>
      <c r="E7" s="2374" t="s">
        <v>201</v>
      </c>
      <c r="F7" s="2375"/>
      <c r="G7" s="2400" t="str">
        <f>IF(G6="","",INDEX(DIFFERENTIATION_UNMERGE_VD,MATCH(G6,DIFFERENTIATION_ID_DIFF,0)))</f>
        <v/>
      </c>
      <c r="H7" s="2401"/>
      <c r="I7" s="2400">
        <f>IF(I6="","",INDEX(DIFFERENTIATION_UNMERGE_VD,MATCH(I6,DIFFERENTIATION_ID_DIFF,0)))</f>
        <v>0</v>
      </c>
      <c r="J7" s="2401"/>
      <c r="K7" s="2182"/>
      <c r="L7" s="516"/>
      <c r="X7" s="512">
        <v>11</v>
      </c>
    </row>
    <row customHeight="1" ht="11.549999999999999">
      <c r="A8" s="711"/>
      <c r="D8" s="718"/>
      <c r="E8" s="2374" t="s">
        <v>726</v>
      </c>
      <c r="F8" s="2375"/>
      <c r="G8" s="2400" t="str">
        <f>IF(G6="","",INDEX(DIFFERENTIATION_UNMERGE_AREA,MATCH(G6,DIFFERENTIATION_ID_DIFF,0)))</f>
        <v/>
      </c>
      <c r="H8" s="2401"/>
      <c r="I8" s="2400" t="str">
        <f>IF(I6="","",INDEX(DIFFERENTIATION_UNMERGE_AREA,MATCH(I6,DIFFERENTIATION_ID_DIFF,0)))</f>
        <v/>
      </c>
      <c r="J8" s="2401"/>
      <c r="K8" s="2206"/>
      <c r="L8" s="516"/>
      <c r="X8" s="512">
        <v>11</v>
      </c>
    </row>
    <row customHeight="1" ht="11.549999999999999">
      <c r="A9" s="711"/>
      <c r="D9" s="718"/>
      <c r="E9" s="2374" t="s">
        <v>727</v>
      </c>
      <c r="F9" s="2375"/>
      <c r="G9" s="2400" t="str">
        <f>IF(G6="","",INDEX(DIFFERENTIATION_UNMERGE_SYSTEM,MATCH(G6,DIFFERENTIATION_ID_DIFF,0)))</f>
        <v/>
      </c>
      <c r="H9" s="2401"/>
      <c r="I9" s="2400" t="str">
        <f>IF(I6="","",INDEX(DIFFERENTIATION_UNMERGE_SYSTEM,MATCH(I6,DIFFERENTIATION_ID_DIFF,0)))</f>
        <v>без дифференциации</v>
      </c>
      <c r="J9" s="2401"/>
      <c r="K9" s="2206"/>
      <c r="L9" s="516"/>
      <c r="X9" s="512">
        <v>11</v>
      </c>
    </row>
    <row s="1642" customFormat="1" customHeight="1" ht="11.549999999999999">
      <c r="A10" s="1028"/>
      <c r="B10" s="518"/>
      <c r="D10" s="2108" t="s">
        <v>463</v>
      </c>
      <c r="E10" s="2109"/>
      <c r="F10" s="2109"/>
      <c r="G10" s="2109"/>
      <c r="H10" s="2109"/>
      <c r="I10" s="2109"/>
      <c r="J10" s="2110"/>
      <c r="K10" s="2206"/>
      <c r="L10" s="516"/>
      <c r="X10" s="765">
        <v>11</v>
      </c>
    </row>
    <row s="1642" customFormat="1" customHeight="1" ht="24">
      <c r="A11" s="2392"/>
      <c r="B11" s="2392"/>
      <c r="C11" s="664"/>
      <c r="D11" s="710" t="s">
        <v>88</v>
      </c>
      <c r="E11" s="712" t="s">
        <v>968</v>
      </c>
      <c r="F11" s="712" t="s">
        <v>728</v>
      </c>
      <c r="G11" s="472" t="s">
        <v>466</v>
      </c>
      <c r="H11" s="472" t="s">
        <v>553</v>
      </c>
      <c r="I11" s="814" t="s">
        <v>466</v>
      </c>
      <c r="J11" s="815" t="s">
        <v>553</v>
      </c>
      <c r="K11" s="2239"/>
      <c r="L11" s="665"/>
      <c r="X11" s="516">
        <v>23</v>
      </c>
    </row>
    <row s="1649" customFormat="1" customHeight="1" ht="10.5">
      <c r="A12" s="959"/>
      <c r="D12" s="1032" t="s">
        <v>108</v>
      </c>
      <c r="E12" s="1032" t="s">
        <v>99</v>
      </c>
      <c r="F12" s="1032" t="s">
        <v>90</v>
      </c>
      <c r="G12" s="1033" t="str">
        <f>G1&amp;".1"</f>
        <v>4.1</v>
      </c>
      <c r="H12" s="1033" t="str">
        <f>G1&amp;".2"</f>
        <v>4.2</v>
      </c>
      <c r="I12" s="1033" t="str">
        <f>I1&amp;".1"</f>
        <v>4.1</v>
      </c>
      <c r="J12" s="1033" t="str">
        <f>I1&amp;".2"</f>
        <v>4.2</v>
      </c>
      <c r="K12" s="1033"/>
      <c r="X12" s="518">
        <v>10</v>
      </c>
    </row>
    <row customHeight="1" ht="22.5" hidden="1">
      <c r="A13" s="2399" t="s">
        <v>969</v>
      </c>
      <c r="D13" s="960" t="s">
        <v>108</v>
      </c>
      <c r="E13" s="286" t="s">
        <v>970</v>
      </c>
      <c r="F13" s="667" t="s">
        <v>971</v>
      </c>
      <c r="G13" s="564"/>
      <c r="H13" s="668"/>
      <c r="I13" s="564"/>
      <c r="J13" s="668"/>
      <c r="K13" s="296" t="s">
        <v>972</v>
      </c>
      <c r="L13" s="727"/>
      <c r="X13" s="512">
        <v>0</v>
      </c>
    </row>
    <row customHeight="1" ht="22.5" hidden="1">
      <c r="A14" s="2399"/>
      <c r="D14" s="546" t="s">
        <v>99</v>
      </c>
      <c r="E14" s="286" t="s">
        <v>973</v>
      </c>
      <c r="F14" s="667" t="s">
        <v>974</v>
      </c>
      <c r="G14" s="564"/>
      <c r="H14" s="669"/>
      <c r="I14" s="564"/>
      <c r="J14" s="669"/>
      <c r="K14" s="296" t="s">
        <v>975</v>
      </c>
      <c r="L14" s="727"/>
      <c r="X14" s="512">
        <v>0</v>
      </c>
    </row>
    <row s="1642" customFormat="1" customHeight="1" ht="78.75" hidden="1">
      <c r="A15" s="2399"/>
      <c r="B15" s="518"/>
      <c r="D15" s="960" t="s">
        <v>90</v>
      </c>
      <c r="E15" s="714" t="s">
        <v>976</v>
      </c>
      <c r="F15" s="957" t="s">
        <v>469</v>
      </c>
      <c r="G15" s="957" t="s">
        <v>469</v>
      </c>
      <c r="H15" s="113"/>
      <c r="I15" s="957" t="s">
        <v>469</v>
      </c>
      <c r="J15" s="113"/>
      <c r="K15" s="296" t="s">
        <v>977</v>
      </c>
      <c r="L15" s="727"/>
      <c r="X15" s="765">
        <v>0</v>
      </c>
    </row>
    <row s="1642" customFormat="1" customHeight="1" ht="22.5" hidden="1">
      <c r="A16" s="2399"/>
      <c r="B16" s="518"/>
      <c r="D16" s="960" t="s">
        <v>487</v>
      </c>
      <c r="E16" s="961" t="s">
        <v>978</v>
      </c>
      <c r="F16" s="957" t="s">
        <v>979</v>
      </c>
      <c r="G16" s="824"/>
      <c r="H16" s="113"/>
      <c r="I16" s="824"/>
      <c r="J16" s="113"/>
      <c r="K16" s="296"/>
      <c r="L16" s="727"/>
      <c r="X16" s="765">
        <v>0</v>
      </c>
    </row>
    <row s="1642" customFormat="1" customHeight="1" ht="22.5" hidden="1">
      <c r="A17" s="2399"/>
      <c r="B17" s="518"/>
      <c r="D17" s="960" t="s">
        <v>495</v>
      </c>
      <c r="E17" s="961" t="s">
        <v>980</v>
      </c>
      <c r="F17" s="957" t="s">
        <v>981</v>
      </c>
      <c r="G17" s="824"/>
      <c r="H17" s="113"/>
      <c r="I17" s="824"/>
      <c r="J17" s="113"/>
      <c r="K17" s="296"/>
      <c r="L17" s="727"/>
      <c r="X17" s="765">
        <v>0</v>
      </c>
    </row>
    <row s="1642" customFormat="1" customHeight="1" ht="33.75" hidden="1">
      <c r="A18" s="2399"/>
      <c r="B18" s="518"/>
      <c r="D18" s="960" t="s">
        <v>497</v>
      </c>
      <c r="E18" s="961" t="s">
        <v>982</v>
      </c>
      <c r="F18" s="957" t="s">
        <v>733</v>
      </c>
      <c r="G18" s="687"/>
      <c r="H18" s="113"/>
      <c r="I18" s="687"/>
      <c r="J18" s="113"/>
      <c r="K18" s="296"/>
      <c r="L18" s="727"/>
      <c r="X18" s="765">
        <v>0</v>
      </c>
    </row>
    <row customHeight="1" ht="101.25" hidden="1">
      <c r="A19" s="2399"/>
      <c r="D19" s="960" t="s">
        <v>91</v>
      </c>
      <c r="E19" s="286" t="s">
        <v>983</v>
      </c>
      <c r="F19" s="667" t="s">
        <v>708</v>
      </c>
      <c r="G19" s="670"/>
      <c r="H19" s="669"/>
      <c r="I19" s="962"/>
      <c r="J19" s="669"/>
      <c r="K19" s="296" t="s">
        <v>984</v>
      </c>
      <c r="L19" s="727"/>
      <c r="X19" s="512">
        <v>0</v>
      </c>
    </row>
    <row s="1642" customFormat="1" customHeight="1" ht="18.75" hidden="1">
      <c r="A20" s="2399"/>
      <c r="C20" s="963"/>
      <c r="D20" s="960" t="s">
        <v>915</v>
      </c>
      <c r="E20" s="961" t="s">
        <v>985</v>
      </c>
      <c r="F20" s="957" t="s">
        <v>469</v>
      </c>
      <c r="G20" s="957" t="s">
        <v>469</v>
      </c>
      <c r="H20" s="956" t="s">
        <v>469</v>
      </c>
      <c r="I20" s="957" t="s">
        <v>469</v>
      </c>
      <c r="J20" s="956" t="s">
        <v>469</v>
      </c>
      <c r="K20" s="955"/>
      <c r="L20" s="727"/>
      <c r="W20" s="682"/>
      <c r="X20" s="765">
        <v>0</v>
      </c>
    </row>
    <row s="1642" customFormat="1" customHeight="1" ht="33.75" hidden="1">
      <c r="A21" s="2399"/>
      <c r="C21" s="963"/>
      <c r="D21" s="960" t="s">
        <v>918</v>
      </c>
      <c r="E21" s="583" t="s">
        <v>986</v>
      </c>
      <c r="F21" s="957" t="s">
        <v>987</v>
      </c>
      <c r="G21" s="687"/>
      <c r="H21" s="113"/>
      <c r="I21" s="687"/>
      <c r="J21" s="113"/>
      <c r="K21" s="955"/>
      <c r="L21" s="727"/>
      <c r="W21" s="682"/>
      <c r="X21" s="765">
        <v>0</v>
      </c>
    </row>
    <row s="1642" customFormat="1" customHeight="1" ht="33.75" hidden="1">
      <c r="A22" s="2399"/>
      <c r="C22" s="963"/>
      <c r="D22" s="960" t="s">
        <v>921</v>
      </c>
      <c r="E22" s="583" t="s">
        <v>988</v>
      </c>
      <c r="F22" s="957" t="s">
        <v>989</v>
      </c>
      <c r="G22" s="687"/>
      <c r="H22" s="113"/>
      <c r="I22" s="687"/>
      <c r="J22" s="113"/>
      <c r="K22" s="955"/>
      <c r="L22" s="727"/>
      <c r="W22" s="682"/>
      <c r="X22" s="765">
        <v>0</v>
      </c>
    </row>
    <row s="1642" customFormat="1" customHeight="1" ht="22.5" hidden="1">
      <c r="A23" s="2399"/>
      <c r="C23" s="963"/>
      <c r="D23" s="960" t="s">
        <v>957</v>
      </c>
      <c r="E23" s="961" t="s">
        <v>990</v>
      </c>
      <c r="F23" s="957" t="s">
        <v>469</v>
      </c>
      <c r="G23" s="957" t="s">
        <v>469</v>
      </c>
      <c r="H23" s="956" t="s">
        <v>469</v>
      </c>
      <c r="I23" s="957" t="s">
        <v>469</v>
      </c>
      <c r="J23" s="956" t="s">
        <v>469</v>
      </c>
      <c r="K23" s="955"/>
      <c r="L23" s="727"/>
      <c r="W23" s="682"/>
      <c r="X23" s="765">
        <v>0</v>
      </c>
    </row>
    <row s="1642" customFormat="1" customHeight="1" ht="22.5" hidden="1">
      <c r="A24" s="2399"/>
      <c r="C24" s="963"/>
      <c r="D24" s="960" t="s">
        <v>991</v>
      </c>
      <c r="E24" s="583" t="s">
        <v>992</v>
      </c>
      <c r="F24" s="957" t="s">
        <v>993</v>
      </c>
      <c r="G24" s="687"/>
      <c r="H24" s="693"/>
      <c r="I24" s="687"/>
      <c r="J24" s="693"/>
      <c r="K24" s="955"/>
      <c r="L24" s="727"/>
      <c r="W24" s="682"/>
      <c r="X24" s="765">
        <v>0</v>
      </c>
    </row>
    <row s="1642" customFormat="1" customHeight="1" ht="22.5" hidden="1">
      <c r="A25" s="2399"/>
      <c r="C25" s="963"/>
      <c r="D25" s="960" t="s">
        <v>994</v>
      </c>
      <c r="E25" s="583" t="s">
        <v>995</v>
      </c>
      <c r="F25" s="957" t="s">
        <v>469</v>
      </c>
      <c r="G25" s="957" t="s">
        <v>469</v>
      </c>
      <c r="H25" s="956" t="s">
        <v>469</v>
      </c>
      <c r="I25" s="957" t="s">
        <v>469</v>
      </c>
      <c r="J25" s="956" t="s">
        <v>469</v>
      </c>
      <c r="K25" s="955"/>
      <c r="L25" s="727"/>
      <c r="W25" s="682"/>
      <c r="X25" s="765">
        <v>0</v>
      </c>
    </row>
    <row s="1642" customFormat="1" customHeight="1" ht="18.75" hidden="1">
      <c r="A26" s="2399"/>
      <c r="C26" s="963"/>
      <c r="D26" s="960" t="s">
        <v>996</v>
      </c>
      <c r="E26" s="560" t="s">
        <v>997</v>
      </c>
      <c r="F26" s="957" t="s">
        <v>998</v>
      </c>
      <c r="G26" s="687"/>
      <c r="H26" s="693"/>
      <c r="I26" s="687"/>
      <c r="J26" s="693"/>
      <c r="K26" s="955"/>
      <c r="L26" s="727"/>
      <c r="W26" s="682"/>
      <c r="X26" s="765">
        <v>0</v>
      </c>
    </row>
    <row s="1642" customFormat="1" customHeight="1" ht="18.75" hidden="1">
      <c r="A27" s="2399"/>
      <c r="C27" s="963"/>
      <c r="D27" s="960" t="s">
        <v>999</v>
      </c>
      <c r="E27" s="560" t="s">
        <v>1000</v>
      </c>
      <c r="F27" s="957" t="s">
        <v>1001</v>
      </c>
      <c r="G27" s="687"/>
      <c r="H27" s="693"/>
      <c r="I27" s="687"/>
      <c r="J27" s="693"/>
      <c r="K27" s="955"/>
      <c r="L27" s="727"/>
      <c r="W27" s="682"/>
      <c r="X27" s="765">
        <v>0</v>
      </c>
    </row>
    <row s="1642" customFormat="1" customHeight="1" ht="18.75" hidden="1">
      <c r="A28" s="2399"/>
      <c r="C28" s="963"/>
      <c r="D28" s="960" t="s">
        <v>1002</v>
      </c>
      <c r="E28" s="583" t="s">
        <v>1003</v>
      </c>
      <c r="F28" s="957" t="s">
        <v>469</v>
      </c>
      <c r="G28" s="957" t="s">
        <v>469</v>
      </c>
      <c r="H28" s="956" t="s">
        <v>469</v>
      </c>
      <c r="I28" s="957" t="s">
        <v>469</v>
      </c>
      <c r="J28" s="956" t="s">
        <v>469</v>
      </c>
      <c r="K28" s="955"/>
      <c r="L28" s="727"/>
      <c r="W28" s="682"/>
      <c r="X28" s="765">
        <v>0</v>
      </c>
    </row>
    <row s="1642" customFormat="1" customHeight="1" ht="18.75" hidden="1">
      <c r="A29" s="2399"/>
      <c r="C29" s="963"/>
      <c r="D29" s="960" t="s">
        <v>1004</v>
      </c>
      <c r="E29" s="560" t="s">
        <v>997</v>
      </c>
      <c r="F29" s="957" t="s">
        <v>1005</v>
      </c>
      <c r="G29" s="687"/>
      <c r="H29" s="693"/>
      <c r="I29" s="687"/>
      <c r="J29" s="693"/>
      <c r="K29" s="955"/>
      <c r="L29" s="727"/>
      <c r="W29" s="682"/>
      <c r="X29" s="765">
        <v>0</v>
      </c>
    </row>
    <row s="1642" customFormat="1" customHeight="1" ht="18.75" hidden="1">
      <c r="A30" s="2399"/>
      <c r="C30" s="963"/>
      <c r="D30" s="960" t="s">
        <v>1006</v>
      </c>
      <c r="E30" s="560" t="s">
        <v>1007</v>
      </c>
      <c r="F30" s="957" t="s">
        <v>1008</v>
      </c>
      <c r="G30" s="687"/>
      <c r="H30" s="693"/>
      <c r="I30" s="687"/>
      <c r="J30" s="693"/>
      <c r="K30" s="955"/>
      <c r="L30" s="727"/>
      <c r="W30" s="682"/>
      <c r="X30" s="765">
        <v>0</v>
      </c>
    </row>
    <row customHeight="1" ht="126.75" hidden="1">
      <c r="A31" s="2399"/>
      <c r="D31" s="960" t="s">
        <v>119</v>
      </c>
      <c r="E31" s="286" t="s">
        <v>1009</v>
      </c>
      <c r="F31" s="667" t="s">
        <v>720</v>
      </c>
      <c r="G31" s="564"/>
      <c r="H31" s="669"/>
      <c r="I31" s="564"/>
      <c r="J31" s="669"/>
      <c r="K31" s="296" t="s">
        <v>1010</v>
      </c>
      <c r="L31" s="727"/>
      <c r="X31" s="512">
        <v>0</v>
      </c>
    </row>
    <row customHeight="1" ht="56.25" hidden="1">
      <c r="A32" s="2399"/>
      <c r="D32" s="960" t="s">
        <v>92</v>
      </c>
      <c r="E32" s="286" t="s">
        <v>1011</v>
      </c>
      <c r="F32" s="546" t="s">
        <v>981</v>
      </c>
      <c r="G32" s="564"/>
      <c r="H32" s="669"/>
      <c r="I32" s="564"/>
      <c r="J32" s="669"/>
      <c r="K32" s="296" t="s">
        <v>1012</v>
      </c>
      <c r="L32" s="727"/>
      <c r="X32" s="512">
        <v>0</v>
      </c>
    </row>
    <row customHeight="1" ht="11.25" hidden="1">
      <c r="A33" s="2399"/>
      <c r="E33" s="671"/>
      <c r="F33" s="188"/>
      <c r="G33" s="188"/>
      <c r="H33" s="188"/>
      <c r="I33" s="188"/>
      <c r="J33" s="188"/>
      <c r="K33" s="188"/>
      <c r="X33" s="512">
        <v>0</v>
      </c>
    </row>
    <row customHeight="1" ht="12.75" hidden="1">
      <c r="A34" s="2399"/>
      <c r="D34" s="72">
        <v>1</v>
      </c>
      <c r="E34" s="342" t="s">
        <v>1013</v>
      </c>
      <c r="X34" s="512">
        <v>0</v>
      </c>
    </row>
    <row customHeight="1" ht="11.25" hidden="1">
      <c r="A35" s="2399"/>
      <c r="D35" s="376"/>
      <c r="E35" s="342" t="s">
        <v>1014</v>
      </c>
      <c r="X35" s="512">
        <v>0</v>
      </c>
    </row>
    <row s="1642" customFormat="1" customHeight="1" ht="11.549999999999999">
      <c r="A36" s="1040"/>
      <c r="B36" s="525"/>
      <c r="D36" s="1041"/>
      <c r="E36" s="1042"/>
      <c r="X36" s="516">
        <v>11</v>
      </c>
    </row>
    <row s="1642" customFormat="1" customHeight="1" ht="22.5">
      <c r="A37" s="2399" t="s">
        <v>1015</v>
      </c>
      <c r="B37" s="518"/>
      <c r="D37" s="960">
        <v>1</v>
      </c>
      <c r="E37" s="714" t="s">
        <v>1016</v>
      </c>
      <c r="F37" s="667" t="s">
        <v>971</v>
      </c>
      <c r="G37" s="564"/>
      <c r="H37" s="526"/>
      <c r="I37" s="564"/>
      <c r="J37" s="526"/>
      <c r="K37" s="296" t="s">
        <v>1017</v>
      </c>
      <c r="X37" s="765">
        <v>0</v>
      </c>
    </row>
    <row s="1642" customFormat="1" customHeight="1" ht="22.5">
      <c r="A38" s="2399"/>
      <c r="B38" s="518"/>
      <c r="D38" s="676" t="s">
        <v>99</v>
      </c>
      <c r="E38" s="1039" t="s">
        <v>1018</v>
      </c>
      <c r="F38" s="1043" t="s">
        <v>708</v>
      </c>
      <c r="G38" s="1043" t="s">
        <v>708</v>
      </c>
      <c r="H38" s="1037"/>
      <c r="I38" s="1043" t="s">
        <v>708</v>
      </c>
      <c r="J38" s="1037"/>
      <c r="K38" s="1038"/>
      <c r="X38" s="765">
        <v>0</v>
      </c>
    </row>
    <row s="1642" customFormat="1" customHeight="1" ht="33.75">
      <c r="A39" s="2399"/>
      <c r="B39" s="518"/>
      <c r="D39" s="672" t="s">
        <v>873</v>
      </c>
      <c r="E39" s="730" t="s">
        <v>1019</v>
      </c>
      <c r="F39" s="667" t="s">
        <v>1020</v>
      </c>
      <c r="G39" s="675"/>
      <c r="H39" s="1030"/>
      <c r="I39" s="675"/>
      <c r="J39" s="1030"/>
      <c r="K39" s="296" t="s">
        <v>1021</v>
      </c>
      <c r="X39" s="765">
        <v>0</v>
      </c>
    </row>
    <row s="1642" customFormat="1" customHeight="1" ht="33.75">
      <c r="A40" s="2399"/>
      <c r="B40" s="518"/>
      <c r="D40" s="672" t="s">
        <v>876</v>
      </c>
      <c r="E40" s="730" t="s">
        <v>1022</v>
      </c>
      <c r="F40" s="1034" t="s">
        <v>1023</v>
      </c>
      <c r="G40" s="748"/>
      <c r="H40" s="1030"/>
      <c r="I40" s="748"/>
      <c r="J40" s="1030"/>
      <c r="K40" s="296" t="s">
        <v>1024</v>
      </c>
      <c r="X40" s="765">
        <v>0</v>
      </c>
    </row>
    <row s="1642" customFormat="1" customHeight="1" ht="22.5">
      <c r="A41" s="2399"/>
      <c r="B41" s="518"/>
      <c r="D41" s="672" t="s">
        <v>90</v>
      </c>
      <c r="E41" s="729" t="s">
        <v>1025</v>
      </c>
      <c r="F41" s="667" t="s">
        <v>708</v>
      </c>
      <c r="G41" s="667" t="s">
        <v>708</v>
      </c>
      <c r="H41" s="1031"/>
      <c r="I41" s="667" t="s">
        <v>708</v>
      </c>
      <c r="J41" s="1031"/>
      <c r="K41" s="309"/>
      <c r="X41" s="765">
        <v>0</v>
      </c>
    </row>
    <row s="1642" customFormat="1" customHeight="1" ht="45">
      <c r="A42" s="2399"/>
      <c r="B42" s="518"/>
      <c r="D42" s="672" t="s">
        <v>487</v>
      </c>
      <c r="E42" s="730" t="s">
        <v>1026</v>
      </c>
      <c r="F42" s="667" t="s">
        <v>720</v>
      </c>
      <c r="G42" s="564"/>
      <c r="H42" s="1031"/>
      <c r="I42" s="564"/>
      <c r="J42" s="1031"/>
      <c r="K42" s="309" t="s">
        <v>1027</v>
      </c>
      <c r="X42" s="765">
        <v>0</v>
      </c>
    </row>
    <row s="1642" customFormat="1" customHeight="1" ht="45">
      <c r="A43" s="2399"/>
      <c r="B43" s="518"/>
      <c r="D43" s="672" t="s">
        <v>495</v>
      </c>
      <c r="E43" s="674" t="s">
        <v>1028</v>
      </c>
      <c r="F43" s="1035" t="s">
        <v>720</v>
      </c>
      <c r="G43" s="749"/>
      <c r="H43" s="1030"/>
      <c r="I43" s="749"/>
      <c r="J43" s="1030"/>
      <c r="K43" s="309" t="s">
        <v>1029</v>
      </c>
      <c r="X43" s="765">
        <v>0</v>
      </c>
    </row>
    <row s="1642" customFormat="1" customHeight="1" ht="11.25">
      <c r="A44" s="2399"/>
      <c r="B44" s="518"/>
      <c r="D44" s="672" t="s">
        <v>91</v>
      </c>
      <c r="E44" s="673" t="s">
        <v>1030</v>
      </c>
      <c r="F44" s="667" t="s">
        <v>1020</v>
      </c>
      <c r="G44" s="675"/>
      <c r="H44" s="1030"/>
      <c r="I44" s="675"/>
      <c r="J44" s="1030"/>
      <c r="K44" s="296"/>
      <c r="X44" s="765">
        <v>0</v>
      </c>
    </row>
    <row s="1642" customFormat="1" customHeight="1" ht="11.25">
      <c r="A45" s="2399"/>
      <c r="B45" s="518"/>
      <c r="D45" s="672" t="s">
        <v>915</v>
      </c>
      <c r="E45" s="674" t="s">
        <v>1031</v>
      </c>
      <c r="F45" s="667" t="s">
        <v>1020</v>
      </c>
      <c r="G45" s="675"/>
      <c r="H45" s="1030"/>
      <c r="I45" s="675"/>
      <c r="J45" s="1030"/>
      <c r="K45" s="296"/>
      <c r="X45" s="765">
        <v>0</v>
      </c>
    </row>
    <row s="1642" customFormat="1" customHeight="1" ht="11.25">
      <c r="A46" s="2399"/>
      <c r="B46" s="518"/>
      <c r="D46" s="672" t="s">
        <v>957</v>
      </c>
      <c r="E46" s="674" t="s">
        <v>1032</v>
      </c>
      <c r="F46" s="667" t="s">
        <v>1020</v>
      </c>
      <c r="G46" s="675"/>
      <c r="H46" s="1030"/>
      <c r="I46" s="675"/>
      <c r="J46" s="1030"/>
      <c r="K46" s="296"/>
      <c r="X46" s="765">
        <v>0</v>
      </c>
    </row>
    <row s="1642" customFormat="1" customHeight="1" ht="11.25">
      <c r="A47" s="2399"/>
      <c r="B47" s="518"/>
      <c r="D47" s="672" t="s">
        <v>960</v>
      </c>
      <c r="E47" s="674" t="s">
        <v>1033</v>
      </c>
      <c r="F47" s="667" t="s">
        <v>1020</v>
      </c>
      <c r="G47" s="675"/>
      <c r="H47" s="1030"/>
      <c r="I47" s="675"/>
      <c r="J47" s="1030"/>
      <c r="K47" s="296"/>
      <c r="X47" s="765">
        <v>0</v>
      </c>
    </row>
    <row s="1642" customFormat="1" customHeight="1" ht="11.25">
      <c r="A48" s="2399"/>
      <c r="B48" s="518"/>
      <c r="D48" s="672" t="s">
        <v>1034</v>
      </c>
      <c r="E48" s="678" t="s">
        <v>1035</v>
      </c>
      <c r="F48" s="667" t="s">
        <v>1020</v>
      </c>
      <c r="G48" s="675"/>
      <c r="H48" s="1030"/>
      <c r="I48" s="675"/>
      <c r="J48" s="1030"/>
      <c r="K48" s="296"/>
      <c r="X48" s="765">
        <v>0</v>
      </c>
    </row>
    <row s="1642" customFormat="1" customHeight="1" ht="11.25">
      <c r="A49" s="2399"/>
      <c r="B49" s="518"/>
      <c r="D49" s="672" t="s">
        <v>1036</v>
      </c>
      <c r="E49" s="678" t="s">
        <v>1037</v>
      </c>
      <c r="F49" s="667" t="s">
        <v>1020</v>
      </c>
      <c r="G49" s="675"/>
      <c r="H49" s="1030"/>
      <c r="I49" s="675"/>
      <c r="J49" s="1030"/>
      <c r="K49" s="296"/>
      <c r="X49" s="765">
        <v>0</v>
      </c>
    </row>
    <row s="1642" customFormat="1" customHeight="1" ht="11.25">
      <c r="A50" s="2399"/>
      <c r="B50" s="518"/>
      <c r="D50" s="672" t="s">
        <v>1038</v>
      </c>
      <c r="E50" s="674" t="s">
        <v>1039</v>
      </c>
      <c r="F50" s="667" t="s">
        <v>1020</v>
      </c>
      <c r="G50" s="675"/>
      <c r="H50" s="1030"/>
      <c r="I50" s="675"/>
      <c r="J50" s="1030"/>
      <c r="K50" s="296"/>
      <c r="X50" s="765">
        <v>0</v>
      </c>
    </row>
    <row s="1642" customFormat="1" customHeight="1" ht="11.25">
      <c r="A51" s="2399"/>
      <c r="B51" s="518"/>
      <c r="D51" s="672" t="s">
        <v>1040</v>
      </c>
      <c r="E51" s="674" t="s">
        <v>1041</v>
      </c>
      <c r="F51" s="667" t="s">
        <v>1020</v>
      </c>
      <c r="G51" s="675"/>
      <c r="H51" s="1030"/>
      <c r="I51" s="675"/>
      <c r="J51" s="1030"/>
      <c r="K51" s="296"/>
      <c r="X51" s="765">
        <v>0</v>
      </c>
    </row>
    <row s="1642" customFormat="1" customHeight="1" ht="45">
      <c r="A52" s="2399"/>
      <c r="B52" s="518"/>
      <c r="D52" s="672" t="s">
        <v>119</v>
      </c>
      <c r="E52" s="673" t="s">
        <v>1042</v>
      </c>
      <c r="F52" s="667" t="s">
        <v>1020</v>
      </c>
      <c r="G52" s="675"/>
      <c r="H52" s="1030"/>
      <c r="I52" s="675"/>
      <c r="J52" s="1030"/>
      <c r="K52" s="296"/>
      <c r="X52" s="765">
        <v>0</v>
      </c>
    </row>
    <row s="1642" customFormat="1" customHeight="1" ht="11.25">
      <c r="A53" s="2399"/>
      <c r="B53" s="518"/>
      <c r="D53" s="672" t="s">
        <v>476</v>
      </c>
      <c r="E53" s="674" t="s">
        <v>1031</v>
      </c>
      <c r="F53" s="667" t="s">
        <v>1020</v>
      </c>
      <c r="G53" s="675"/>
      <c r="H53" s="1030"/>
      <c r="I53" s="675"/>
      <c r="J53" s="1030"/>
      <c r="K53" s="296"/>
      <c r="X53" s="765">
        <v>0</v>
      </c>
    </row>
    <row s="1642" customFormat="1" customHeight="1" ht="11.25">
      <c r="A54" s="2399"/>
      <c r="B54" s="518"/>
      <c r="D54" s="672" t="s">
        <v>1043</v>
      </c>
      <c r="E54" s="674" t="s">
        <v>1032</v>
      </c>
      <c r="F54" s="667" t="s">
        <v>1020</v>
      </c>
      <c r="G54" s="675"/>
      <c r="H54" s="1030"/>
      <c r="I54" s="675"/>
      <c r="J54" s="1030"/>
      <c r="K54" s="296"/>
      <c r="X54" s="765">
        <v>0</v>
      </c>
    </row>
    <row s="1642" customFormat="1" customHeight="1" ht="11.25">
      <c r="A55" s="2399"/>
      <c r="B55" s="518"/>
      <c r="D55" s="672" t="s">
        <v>1044</v>
      </c>
      <c r="E55" s="674" t="s">
        <v>1033</v>
      </c>
      <c r="F55" s="667" t="s">
        <v>1020</v>
      </c>
      <c r="G55" s="675"/>
      <c r="H55" s="1030"/>
      <c r="I55" s="675"/>
      <c r="J55" s="1030"/>
      <c r="K55" s="296"/>
      <c r="X55" s="765">
        <v>0</v>
      </c>
    </row>
    <row s="1642" customFormat="1" customHeight="1" ht="11.25">
      <c r="A56" s="2399"/>
      <c r="B56" s="518"/>
      <c r="D56" s="672" t="s">
        <v>1045</v>
      </c>
      <c r="E56" s="678" t="s">
        <v>1035</v>
      </c>
      <c r="F56" s="667" t="s">
        <v>1020</v>
      </c>
      <c r="G56" s="675"/>
      <c r="H56" s="1030"/>
      <c r="I56" s="675"/>
      <c r="J56" s="1030"/>
      <c r="K56" s="296"/>
      <c r="X56" s="765">
        <v>0</v>
      </c>
    </row>
    <row s="1642" customFormat="1" customHeight="1" ht="11.25">
      <c r="A57" s="2399"/>
      <c r="B57" s="518"/>
      <c r="D57" s="672" t="s">
        <v>1046</v>
      </c>
      <c r="E57" s="678" t="s">
        <v>1037</v>
      </c>
      <c r="F57" s="667" t="s">
        <v>1020</v>
      </c>
      <c r="G57" s="675"/>
      <c r="H57" s="1030"/>
      <c r="I57" s="675"/>
      <c r="J57" s="1030"/>
      <c r="K57" s="296"/>
      <c r="X57" s="765">
        <v>0</v>
      </c>
    </row>
    <row s="1642" customFormat="1" customHeight="1" ht="11.25">
      <c r="A58" s="2399"/>
      <c r="B58" s="518"/>
      <c r="D58" s="672" t="s">
        <v>1047</v>
      </c>
      <c r="E58" s="674" t="s">
        <v>1039</v>
      </c>
      <c r="F58" s="667" t="s">
        <v>1020</v>
      </c>
      <c r="G58" s="675"/>
      <c r="H58" s="1030"/>
      <c r="I58" s="675"/>
      <c r="J58" s="1030"/>
      <c r="K58" s="296"/>
      <c r="X58" s="765">
        <v>0</v>
      </c>
    </row>
    <row s="1642" customFormat="1" customHeight="1" ht="11.25">
      <c r="A59" s="2399"/>
      <c r="B59" s="518"/>
      <c r="D59" s="672" t="s">
        <v>1048</v>
      </c>
      <c r="E59" s="674" t="s">
        <v>1041</v>
      </c>
      <c r="F59" s="667" t="s">
        <v>1020</v>
      </c>
      <c r="G59" s="675"/>
      <c r="H59" s="1030"/>
      <c r="I59" s="675"/>
      <c r="J59" s="1030"/>
      <c r="K59" s="296"/>
      <c r="X59" s="765">
        <v>0</v>
      </c>
    </row>
    <row s="1642" customFormat="1" customHeight="1" ht="33.75">
      <c r="A60" s="2399"/>
      <c r="B60" s="518"/>
      <c r="D60" s="672" t="s">
        <v>92</v>
      </c>
      <c r="E60" s="673" t="s">
        <v>1049</v>
      </c>
      <c r="F60" s="728" t="s">
        <v>720</v>
      </c>
      <c r="G60" s="749"/>
      <c r="H60" s="1030"/>
      <c r="I60" s="749"/>
      <c r="J60" s="1030"/>
      <c r="K60" s="309" t="s">
        <v>1050</v>
      </c>
      <c r="X60" s="765">
        <v>0</v>
      </c>
    </row>
    <row s="1642" customFormat="1" customHeight="1" ht="33.75">
      <c r="A61" s="2399"/>
      <c r="B61" s="518"/>
      <c r="D61" s="672" t="s">
        <v>93</v>
      </c>
      <c r="E61" s="673" t="s">
        <v>1051</v>
      </c>
      <c r="F61" s="733" t="s">
        <v>981</v>
      </c>
      <c r="G61" s="675"/>
      <c r="H61" s="1030"/>
      <c r="I61" s="675"/>
      <c r="J61" s="1030"/>
      <c r="K61" s="296"/>
      <c r="X61" s="765">
        <v>0</v>
      </c>
    </row>
    <row s="1642" customFormat="1" customHeight="1" ht="22.5">
      <c r="A62" s="2399"/>
      <c r="B62" s="518" t="s">
        <v>750</v>
      </c>
      <c r="D62" s="672" t="s">
        <v>132</v>
      </c>
      <c r="E62" s="673" t="s">
        <v>1052</v>
      </c>
      <c r="F62" s="733" t="s">
        <v>469</v>
      </c>
      <c r="G62" s="389"/>
      <c r="H62" s="1030"/>
      <c r="I62" s="389"/>
      <c r="J62" s="1030"/>
      <c r="K62" s="296" t="s">
        <v>793</v>
      </c>
      <c r="X62" s="765">
        <v>0</v>
      </c>
    </row>
    <row s="1642" customFormat="1" customHeight="1" ht="45">
      <c r="A63" s="2399"/>
      <c r="B63" s="518" t="s">
        <v>750</v>
      </c>
      <c r="D63" s="672" t="s">
        <v>1053</v>
      </c>
      <c r="E63" s="674" t="s">
        <v>1054</v>
      </c>
      <c r="F63" s="728" t="s">
        <v>469</v>
      </c>
      <c r="G63" s="389"/>
      <c r="H63" s="1030"/>
      <c r="I63" s="389"/>
      <c r="J63" s="1030"/>
      <c r="K63" s="296" t="s">
        <v>793</v>
      </c>
      <c r="X63" s="765">
        <v>0</v>
      </c>
    </row>
    <row s="1642" customFormat="1" customHeight="1" ht="11.549999999999999">
      <c r="A64" s="1040"/>
      <c r="B64" s="525"/>
      <c r="D64" s="1041"/>
      <c r="E64" s="1042"/>
      <c r="X64" s="516">
        <v>11</v>
      </c>
    </row>
    <row s="1642" customFormat="1" customHeight="1" ht="22.5" hidden="1">
      <c r="A65" s="2399" t="s">
        <v>1055</v>
      </c>
      <c r="B65" s="518"/>
      <c r="D65" s="672">
        <v>1</v>
      </c>
      <c r="E65" s="751" t="s">
        <v>1056</v>
      </c>
      <c r="F65" s="747" t="s">
        <v>971</v>
      </c>
      <c r="G65" s="748"/>
      <c r="H65" s="1036"/>
      <c r="I65" s="748"/>
      <c r="J65" s="1036"/>
      <c r="K65" s="308" t="s">
        <v>1057</v>
      </c>
      <c r="X65" s="765">
        <v>0</v>
      </c>
    </row>
    <row s="1642" customFormat="1" customHeight="1" ht="56.25" hidden="1">
      <c r="A66" s="2399"/>
      <c r="B66" s="518"/>
      <c r="D66" s="750" t="s">
        <v>99</v>
      </c>
      <c r="E66" s="714" t="s">
        <v>1058</v>
      </c>
      <c r="F66" s="667" t="s">
        <v>708</v>
      </c>
      <c r="G66" s="667" t="s">
        <v>708</v>
      </c>
      <c r="H66" s="526"/>
      <c r="I66" s="667" t="s">
        <v>708</v>
      </c>
      <c r="J66" s="526"/>
      <c r="K66" s="296"/>
      <c r="X66" s="765">
        <v>0</v>
      </c>
    </row>
    <row s="1642" customFormat="1" customHeight="1" ht="33.75" hidden="1">
      <c r="A67" s="2399"/>
      <c r="B67" s="518"/>
      <c r="D67" s="750" t="s">
        <v>870</v>
      </c>
      <c r="E67" s="961" t="s">
        <v>1059</v>
      </c>
      <c r="F67" s="667" t="s">
        <v>1023</v>
      </c>
      <c r="G67" s="734"/>
      <c r="H67" s="526"/>
      <c r="I67" s="734"/>
      <c r="J67" s="526"/>
      <c r="K67" s="296"/>
      <c r="X67" s="765">
        <v>0</v>
      </c>
    </row>
    <row s="1642" customFormat="1" customHeight="1" ht="22.5" hidden="1">
      <c r="A68" s="2399"/>
      <c r="B68" s="518"/>
      <c r="D68" s="750" t="s">
        <v>470</v>
      </c>
      <c r="E68" s="961" t="s">
        <v>1060</v>
      </c>
      <c r="F68" s="667" t="s">
        <v>1023</v>
      </c>
      <c r="G68" s="734"/>
      <c r="H68" s="526"/>
      <c r="I68" s="734"/>
      <c r="J68" s="526"/>
      <c r="K68" s="296"/>
      <c r="X68" s="765">
        <v>0</v>
      </c>
    </row>
    <row s="1642" customFormat="1" customHeight="1" ht="22.5" hidden="1">
      <c r="A69" s="2399"/>
      <c r="B69" s="518"/>
      <c r="D69" s="750" t="s">
        <v>473</v>
      </c>
      <c r="E69" s="961" t="s">
        <v>1061</v>
      </c>
      <c r="F69" s="728" t="s">
        <v>720</v>
      </c>
      <c r="G69" s="749"/>
      <c r="H69" s="526"/>
      <c r="I69" s="749"/>
      <c r="J69" s="526"/>
      <c r="K69" s="296"/>
      <c r="X69" s="765">
        <v>0</v>
      </c>
    </row>
    <row s="1642" customFormat="1" customHeight="1" ht="22.5" hidden="1">
      <c r="A70" s="2399"/>
      <c r="B70" s="518"/>
      <c r="D70" s="750" t="s">
        <v>890</v>
      </c>
      <c r="E70" s="961" t="s">
        <v>1062</v>
      </c>
      <c r="F70" s="728" t="s">
        <v>720</v>
      </c>
      <c r="G70" s="749"/>
      <c r="H70" s="526"/>
      <c r="I70" s="749"/>
      <c r="J70" s="526"/>
      <c r="K70" s="296"/>
      <c r="X70" s="765">
        <v>0</v>
      </c>
    </row>
    <row s="1642" customFormat="1" customHeight="1" ht="22.5" hidden="1">
      <c r="A71" s="2399"/>
      <c r="B71" s="518"/>
      <c r="D71" s="672" t="s">
        <v>90</v>
      </c>
      <c r="E71" s="673" t="s">
        <v>1063</v>
      </c>
      <c r="F71" s="667" t="s">
        <v>1023</v>
      </c>
      <c r="G71" s="564"/>
      <c r="H71" s="1037"/>
      <c r="I71" s="564"/>
      <c r="J71" s="1037"/>
      <c r="K71" s="309"/>
      <c r="X71" s="765">
        <v>0</v>
      </c>
    </row>
    <row s="1642" customFormat="1" customHeight="1" ht="56.25" hidden="1">
      <c r="A72" s="2399"/>
      <c r="B72" s="518"/>
      <c r="D72" s="672" t="s">
        <v>91</v>
      </c>
      <c r="E72" s="673" t="s">
        <v>1064</v>
      </c>
      <c r="F72" s="728" t="s">
        <v>720</v>
      </c>
      <c r="G72" s="749"/>
      <c r="H72" s="1030"/>
      <c r="I72" s="749"/>
      <c r="J72" s="1030"/>
      <c r="K72" s="309"/>
      <c r="X72" s="765">
        <v>0</v>
      </c>
    </row>
    <row s="1642" customFormat="1" customHeight="1" ht="33.75" hidden="1">
      <c r="A73" s="2399"/>
      <c r="B73" s="518"/>
      <c r="D73" s="672" t="s">
        <v>119</v>
      </c>
      <c r="E73" s="673" t="s">
        <v>1065</v>
      </c>
      <c r="F73" s="733" t="s">
        <v>981</v>
      </c>
      <c r="G73" s="675"/>
      <c r="H73" s="1030"/>
      <c r="I73" s="675"/>
      <c r="J73" s="1030"/>
      <c r="K73" s="296"/>
      <c r="X73" s="765">
        <v>0</v>
      </c>
    </row>
    <row s="1642" customFormat="1" customHeight="1" ht="22.5" hidden="1">
      <c r="A74" s="2399"/>
      <c r="B74" s="518" t="s">
        <v>750</v>
      </c>
      <c r="D74" s="672" t="s">
        <v>92</v>
      </c>
      <c r="E74" s="673" t="s">
        <v>1066</v>
      </c>
      <c r="F74" s="733" t="s">
        <v>469</v>
      </c>
      <c r="G74" s="389"/>
      <c r="H74" s="1030"/>
      <c r="I74" s="389"/>
      <c r="J74" s="1030"/>
      <c r="K74" s="296" t="s">
        <v>793</v>
      </c>
      <c r="X74" s="765">
        <v>0</v>
      </c>
    </row>
    <row s="1642" customFormat="1" customHeight="1" ht="45" hidden="1">
      <c r="A75" s="2399"/>
      <c r="B75" s="518" t="s">
        <v>750</v>
      </c>
      <c r="D75" s="672" t="s">
        <v>814</v>
      </c>
      <c r="E75" s="674" t="s">
        <v>1067</v>
      </c>
      <c r="F75" s="728" t="s">
        <v>469</v>
      </c>
      <c r="G75" s="389"/>
      <c r="H75" s="1030"/>
      <c r="I75" s="389"/>
      <c r="J75" s="1030"/>
      <c r="K75" s="296" t="s">
        <v>793</v>
      </c>
      <c r="X75" s="765">
        <v>0</v>
      </c>
    </row>
    <row s="1642" customFormat="1" customHeight="1" ht="11.549999999999999">
      <c r="A76" s="1040"/>
      <c r="B76" s="525"/>
      <c r="D76" s="1041"/>
      <c r="E76" s="1042"/>
      <c r="X76" s="516">
        <v>11</v>
      </c>
    </row>
    <row s="1642" customFormat="1" customHeight="1" ht="11.25" hidden="1">
      <c r="A77" s="2399" t="s">
        <v>1068</v>
      </c>
      <c r="B77" s="518"/>
      <c r="D77" s="672">
        <v>1</v>
      </c>
      <c r="E77" s="673" t="s">
        <v>1069</v>
      </c>
      <c r="F77" s="728" t="s">
        <v>971</v>
      </c>
      <c r="G77" s="731"/>
      <c r="H77" s="1030"/>
      <c r="I77" s="731"/>
      <c r="J77" s="1030"/>
      <c r="K77" s="296" t="s">
        <v>1070</v>
      </c>
      <c r="X77" s="765">
        <v>0</v>
      </c>
    </row>
    <row s="1642" customFormat="1" customHeight="1" ht="11.25" hidden="1">
      <c r="A78" s="2399"/>
      <c r="B78" s="518"/>
      <c r="D78" s="672" t="s">
        <v>99</v>
      </c>
      <c r="E78" s="673" t="s">
        <v>1071</v>
      </c>
      <c r="F78" s="728" t="s">
        <v>971</v>
      </c>
      <c r="G78" s="731"/>
      <c r="H78" s="1030"/>
      <c r="I78" s="731"/>
      <c r="J78" s="1030"/>
      <c r="K78" s="296" t="s">
        <v>1072</v>
      </c>
      <c r="X78" s="765">
        <v>0</v>
      </c>
    </row>
    <row s="1642" customFormat="1" customHeight="1" ht="22.5" hidden="1">
      <c r="A79" s="2399"/>
      <c r="B79" s="518"/>
      <c r="D79" s="672" t="s">
        <v>90</v>
      </c>
      <c r="E79" s="729" t="s">
        <v>1073</v>
      </c>
      <c r="F79" s="667" t="s">
        <v>1020</v>
      </c>
      <c r="G79" s="731"/>
      <c r="H79" s="1030"/>
      <c r="I79" s="731"/>
      <c r="J79" s="1030"/>
      <c r="K79" s="296" t="s">
        <v>1074</v>
      </c>
      <c r="X79" s="765">
        <v>0</v>
      </c>
    </row>
    <row s="1642" customFormat="1" customHeight="1" ht="11.25" hidden="1">
      <c r="A80" s="2399"/>
      <c r="B80" s="518"/>
      <c r="D80" s="672" t="s">
        <v>487</v>
      </c>
      <c r="E80" s="730" t="s">
        <v>1075</v>
      </c>
      <c r="F80" s="667" t="s">
        <v>1020</v>
      </c>
      <c r="G80" s="731"/>
      <c r="H80" s="1030"/>
      <c r="I80" s="731"/>
      <c r="J80" s="1030"/>
      <c r="K80" s="296"/>
      <c r="X80" s="765">
        <v>0</v>
      </c>
    </row>
    <row s="1642" customFormat="1" customHeight="1" ht="11.25" hidden="1">
      <c r="A81" s="2399"/>
      <c r="B81" s="518"/>
      <c r="D81" s="672" t="s">
        <v>495</v>
      </c>
      <c r="E81" s="730" t="s">
        <v>1076</v>
      </c>
      <c r="F81" s="667" t="s">
        <v>1020</v>
      </c>
      <c r="G81" s="731"/>
      <c r="H81" s="1030"/>
      <c r="I81" s="731"/>
      <c r="J81" s="1030"/>
      <c r="K81" s="296"/>
      <c r="X81" s="765">
        <v>0</v>
      </c>
    </row>
    <row s="1642" customFormat="1" customHeight="1" ht="11.25" hidden="1">
      <c r="A82" s="2399"/>
      <c r="B82" s="518"/>
      <c r="D82" s="672" t="s">
        <v>497</v>
      </c>
      <c r="E82" s="730" t="s">
        <v>1077</v>
      </c>
      <c r="F82" s="667" t="s">
        <v>1020</v>
      </c>
      <c r="G82" s="731"/>
      <c r="H82" s="1030"/>
      <c r="I82" s="731"/>
      <c r="J82" s="1030"/>
      <c r="K82" s="296"/>
      <c r="X82" s="765">
        <v>0</v>
      </c>
    </row>
    <row s="1642" customFormat="1" customHeight="1" ht="11.25" hidden="1">
      <c r="A83" s="2399"/>
      <c r="B83" s="518"/>
      <c r="D83" s="672" t="s">
        <v>499</v>
      </c>
      <c r="E83" s="730" t="s">
        <v>1078</v>
      </c>
      <c r="F83" s="667" t="s">
        <v>1020</v>
      </c>
      <c r="G83" s="731"/>
      <c r="H83" s="1030"/>
      <c r="I83" s="731"/>
      <c r="J83" s="1030"/>
      <c r="K83" s="296"/>
      <c r="X83" s="765">
        <v>0</v>
      </c>
    </row>
    <row s="1642" customFormat="1" customHeight="1" ht="11.25" hidden="1">
      <c r="A84" s="2399"/>
      <c r="B84" s="518"/>
      <c r="D84" s="672" t="s">
        <v>1079</v>
      </c>
      <c r="E84" s="730" t="s">
        <v>1080</v>
      </c>
      <c r="F84" s="667" t="s">
        <v>1020</v>
      </c>
      <c r="G84" s="731"/>
      <c r="H84" s="1030"/>
      <c r="I84" s="731"/>
      <c r="J84" s="1030"/>
      <c r="K84" s="296"/>
      <c r="X84" s="765">
        <v>0</v>
      </c>
    </row>
    <row s="1642" customFormat="1" customHeight="1" ht="11.25" hidden="1">
      <c r="A85" s="2399"/>
      <c r="B85" s="518"/>
      <c r="D85" s="672" t="s">
        <v>1081</v>
      </c>
      <c r="E85" s="730" t="s">
        <v>1082</v>
      </c>
      <c r="F85" s="667" t="s">
        <v>1020</v>
      </c>
      <c r="G85" s="731"/>
      <c r="H85" s="1030"/>
      <c r="I85" s="731"/>
      <c r="J85" s="1030"/>
      <c r="K85" s="296"/>
      <c r="X85" s="765">
        <v>0</v>
      </c>
    </row>
    <row s="1642" customFormat="1" customHeight="1" ht="11.25" hidden="1">
      <c r="A86" s="2399"/>
      <c r="B86" s="518"/>
      <c r="D86" s="672" t="s">
        <v>1083</v>
      </c>
      <c r="E86" s="730" t="s">
        <v>1084</v>
      </c>
      <c r="F86" s="667" t="s">
        <v>1020</v>
      </c>
      <c r="G86" s="731"/>
      <c r="H86" s="1030"/>
      <c r="I86" s="731"/>
      <c r="J86" s="1030"/>
      <c r="K86" s="296"/>
      <c r="X86" s="765">
        <v>0</v>
      </c>
    </row>
    <row s="1642" customFormat="1" customHeight="1" ht="45" hidden="1">
      <c r="A87" s="2399"/>
      <c r="B87" s="518"/>
      <c r="D87" s="672" t="s">
        <v>91</v>
      </c>
      <c r="E87" s="673" t="s">
        <v>1085</v>
      </c>
      <c r="F87" s="667" t="s">
        <v>1020</v>
      </c>
      <c r="G87" s="731"/>
      <c r="H87" s="1030"/>
      <c r="I87" s="731"/>
      <c r="J87" s="1030"/>
      <c r="K87" s="296" t="s">
        <v>1086</v>
      </c>
      <c r="X87" s="765">
        <v>0</v>
      </c>
    </row>
    <row s="1642" customFormat="1" customHeight="1" ht="11.25" hidden="1">
      <c r="A88" s="2399"/>
      <c r="B88" s="518"/>
      <c r="D88" s="672" t="s">
        <v>915</v>
      </c>
      <c r="E88" s="730" t="s">
        <v>1075</v>
      </c>
      <c r="F88" s="667" t="s">
        <v>1020</v>
      </c>
      <c r="G88" s="731"/>
      <c r="H88" s="1030"/>
      <c r="I88" s="731"/>
      <c r="J88" s="1030"/>
      <c r="K88" s="296"/>
      <c r="X88" s="765">
        <v>0</v>
      </c>
    </row>
    <row s="1642" customFormat="1" customHeight="1" ht="11.25" hidden="1">
      <c r="A89" s="2399"/>
      <c r="B89" s="518"/>
      <c r="D89" s="672" t="s">
        <v>957</v>
      </c>
      <c r="E89" s="730" t="s">
        <v>1076</v>
      </c>
      <c r="F89" s="667" t="s">
        <v>1020</v>
      </c>
      <c r="G89" s="731"/>
      <c r="H89" s="1030"/>
      <c r="I89" s="731"/>
      <c r="J89" s="1030"/>
      <c r="K89" s="296"/>
      <c r="X89" s="765">
        <v>0</v>
      </c>
    </row>
    <row s="1642" customFormat="1" customHeight="1" ht="11.25" hidden="1">
      <c r="A90" s="2399"/>
      <c r="B90" s="518"/>
      <c r="D90" s="672" t="s">
        <v>960</v>
      </c>
      <c r="E90" s="730" t="s">
        <v>1077</v>
      </c>
      <c r="F90" s="667" t="s">
        <v>1020</v>
      </c>
      <c r="G90" s="731"/>
      <c r="H90" s="1030"/>
      <c r="I90" s="731"/>
      <c r="J90" s="1030"/>
      <c r="K90" s="296"/>
      <c r="X90" s="765">
        <v>0</v>
      </c>
    </row>
    <row s="1642" customFormat="1" customHeight="1" ht="11.25" hidden="1">
      <c r="A91" s="2399"/>
      <c r="B91" s="518"/>
      <c r="D91" s="672" t="s">
        <v>1038</v>
      </c>
      <c r="E91" s="730" t="s">
        <v>1078</v>
      </c>
      <c r="F91" s="667" t="s">
        <v>1020</v>
      </c>
      <c r="G91" s="731"/>
      <c r="H91" s="1030"/>
      <c r="I91" s="731"/>
      <c r="J91" s="1030"/>
      <c r="K91" s="296"/>
      <c r="X91" s="765">
        <v>0</v>
      </c>
    </row>
    <row s="1642" customFormat="1" customHeight="1" ht="11.25" hidden="1">
      <c r="A92" s="2399"/>
      <c r="B92" s="518"/>
      <c r="D92" s="672" t="s">
        <v>1040</v>
      </c>
      <c r="E92" s="730" t="s">
        <v>1080</v>
      </c>
      <c r="F92" s="667" t="s">
        <v>1020</v>
      </c>
      <c r="G92" s="731"/>
      <c r="H92" s="1030"/>
      <c r="I92" s="731"/>
      <c r="J92" s="1030"/>
      <c r="K92" s="296"/>
      <c r="X92" s="765">
        <v>0</v>
      </c>
    </row>
    <row s="1642" customFormat="1" customHeight="1" ht="11.25" hidden="1">
      <c r="A93" s="2399"/>
      <c r="B93" s="518"/>
      <c r="D93" s="672" t="s">
        <v>1087</v>
      </c>
      <c r="E93" s="730" t="s">
        <v>1082</v>
      </c>
      <c r="F93" s="667" t="s">
        <v>1020</v>
      </c>
      <c r="G93" s="731"/>
      <c r="H93" s="1030"/>
      <c r="I93" s="731"/>
      <c r="J93" s="1030"/>
      <c r="K93" s="296"/>
      <c r="X93" s="765">
        <v>0</v>
      </c>
    </row>
    <row s="1642" customFormat="1" customHeight="1" ht="11.25" hidden="1">
      <c r="A94" s="2399"/>
      <c r="B94" s="518"/>
      <c r="D94" s="672" t="s">
        <v>1088</v>
      </c>
      <c r="E94" s="730" t="s">
        <v>1084</v>
      </c>
      <c r="F94" s="667" t="s">
        <v>1020</v>
      </c>
      <c r="G94" s="731"/>
      <c r="H94" s="1030"/>
      <c r="I94" s="731"/>
      <c r="J94" s="1030"/>
      <c r="K94" s="296"/>
      <c r="X94" s="765">
        <v>0</v>
      </c>
    </row>
    <row s="1642" customFormat="1" customHeight="1" ht="24.75" hidden="1">
      <c r="A95" s="2399"/>
      <c r="B95" s="518"/>
      <c r="D95" s="672" t="s">
        <v>119</v>
      </c>
      <c r="E95" s="673" t="s">
        <v>1089</v>
      </c>
      <c r="F95" s="732" t="s">
        <v>720</v>
      </c>
      <c r="G95" s="734"/>
      <c r="H95" s="1030"/>
      <c r="I95" s="734"/>
      <c r="J95" s="1030"/>
      <c r="K95" s="296" t="s">
        <v>1090</v>
      </c>
      <c r="X95" s="765">
        <v>0</v>
      </c>
    </row>
    <row s="1642" customFormat="1" customHeight="1" ht="33.75" hidden="1">
      <c r="A96" s="2399"/>
      <c r="B96" s="518"/>
      <c r="D96" s="672" t="s">
        <v>92</v>
      </c>
      <c r="E96" s="673" t="s">
        <v>1091</v>
      </c>
      <c r="F96" s="733" t="s">
        <v>981</v>
      </c>
      <c r="G96" s="735"/>
      <c r="H96" s="1030"/>
      <c r="I96" s="735"/>
      <c r="J96" s="1030"/>
      <c r="K96" s="296"/>
      <c r="X96" s="765">
        <v>0</v>
      </c>
    </row>
    <row s="1642" customFormat="1" customHeight="1" ht="22.5" hidden="1">
      <c r="A97" s="2399"/>
      <c r="B97" s="518" t="s">
        <v>750</v>
      </c>
      <c r="D97" s="672" t="s">
        <v>93</v>
      </c>
      <c r="E97" s="673" t="s">
        <v>1092</v>
      </c>
      <c r="F97" s="733" t="s">
        <v>469</v>
      </c>
      <c r="G97" s="392"/>
      <c r="H97" s="1030"/>
      <c r="I97" s="392"/>
      <c r="J97" s="1030"/>
      <c r="K97" s="296" t="s">
        <v>793</v>
      </c>
      <c r="X97" s="765">
        <v>0</v>
      </c>
    </row>
    <row s="1642" customFormat="1" customHeight="1" ht="45" hidden="1">
      <c r="A98" s="2399"/>
      <c r="B98" s="518" t="s">
        <v>750</v>
      </c>
      <c r="D98" s="672" t="s">
        <v>1093</v>
      </c>
      <c r="E98" s="674" t="s">
        <v>1094</v>
      </c>
      <c r="F98" s="728" t="s">
        <v>469</v>
      </c>
      <c r="G98" s="392"/>
      <c r="H98" s="1030"/>
      <c r="I98" s="392"/>
      <c r="J98" s="1030"/>
      <c r="K98" s="296" t="s">
        <v>793</v>
      </c>
      <c r="X98" s="765">
        <v>0</v>
      </c>
    </row>
    <row s="1642" customFormat="1" customHeight="1" ht="95.25" hidden="1">
      <c r="A99" s="2399"/>
      <c r="B99" s="518" t="s">
        <v>750</v>
      </c>
      <c r="D99" s="672" t="s">
        <v>132</v>
      </c>
      <c r="E99" s="673" t="s">
        <v>1095</v>
      </c>
      <c r="F99" s="728" t="s">
        <v>469</v>
      </c>
      <c r="G99" s="392"/>
      <c r="H99" s="1030"/>
      <c r="I99" s="392"/>
      <c r="J99" s="1030"/>
      <c r="K99" s="296" t="s">
        <v>793</v>
      </c>
      <c r="X99" s="765">
        <v>0</v>
      </c>
    </row>
    <row s="1642" customFormat="1" customHeight="1" ht="22.5" hidden="1">
      <c r="A100" s="2399"/>
      <c r="B100" s="518" t="s">
        <v>750</v>
      </c>
      <c r="D100" s="672" t="s">
        <v>137</v>
      </c>
      <c r="E100" s="673" t="s">
        <v>1096</v>
      </c>
      <c r="F100" s="728" t="s">
        <v>469</v>
      </c>
      <c r="G100" s="392"/>
      <c r="H100" s="1030"/>
      <c r="I100" s="392"/>
      <c r="J100" s="1030"/>
      <c r="K100" s="296" t="s">
        <v>793</v>
      </c>
      <c r="X100" s="765">
        <v>0</v>
      </c>
    </row>
    <row s="1642" customFormat="1" customHeight="1" ht="11.549999999999999">
      <c r="A101" s="1040"/>
      <c r="B101" s="525"/>
      <c r="D101" s="1041"/>
      <c r="E101" s="1042"/>
      <c r="X101" s="516">
        <v>11</v>
      </c>
    </row>
    <row customHeight="1" ht="22.5" hidden="1">
      <c r="A102" s="543" t="s">
        <v>82</v>
      </c>
      <c r="B102" s="518">
        <v>0</v>
      </c>
      <c r="C102" s="512">
        <v>3</v>
      </c>
      <c r="D102" s="512">
        <v>7</v>
      </c>
      <c r="E102" s="512">
        <v>69</v>
      </c>
      <c r="F102" s="512">
        <v>10</v>
      </c>
      <c r="G102" s="512">
        <v>0</v>
      </c>
      <c r="H102" s="512">
        <v>0</v>
      </c>
      <c r="I102" s="765">
        <v>43</v>
      </c>
      <c r="J102" s="765">
        <v>43</v>
      </c>
      <c r="K102" s="512">
        <v>73</v>
      </c>
      <c r="L102" s="512">
        <v>3</v>
      </c>
      <c r="M102" s="512">
        <v>10</v>
      </c>
      <c r="N102" s="512">
        <v>10</v>
      </c>
      <c r="O102" s="512">
        <v>10</v>
      </c>
      <c r="P102" s="512">
        <v>10</v>
      </c>
      <c r="Q102" s="512">
        <v>10</v>
      </c>
      <c r="R102" s="512">
        <v>10</v>
      </c>
      <c r="S102" s="512">
        <v>10</v>
      </c>
      <c r="T102" s="512">
        <v>10</v>
      </c>
      <c r="U102" s="512">
        <v>10</v>
      </c>
      <c r="V102" s="512">
        <v>10</v>
      </c>
      <c r="W102" s="512">
        <v>10</v>
      </c>
      <c r="X102" s="512">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24756C-CCE8-7C4F-CB3E-32D881193A12}"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9" width="9.140625" hidden="1" customWidth="1"/>
    <col min="2" max="2" style="1642" width="9.140625" hidden="1" customWidth="1"/>
    <col min="3" max="3" style="690" width="4.00390625" customWidth="1"/>
    <col min="4" max="4" style="1642" width="6.00390625" customWidth="1"/>
    <col min="5" max="5" style="1642" width="36.00390625" customWidth="1"/>
    <col min="6" max="6" style="1642" width="9.00390625" customWidth="1"/>
    <col min="7" max="7" style="1642" width="25.7109375" hidden="1" customWidth="1"/>
    <col min="8" max="8" style="1642" width="33.7109375" hidden="1" customWidth="1"/>
    <col min="9" max="9" style="1642" width="25.7109375" customWidth="1"/>
    <col min="10" max="10" style="1642" width="33.00390625" customWidth="1"/>
    <col min="11" max="11" style="1373" width="93.00390625" customWidth="1"/>
    <col min="12" max="20" style="1642" width="10.00390625" customWidth="1"/>
    <col min="21" max="21" style="682" width="10.00390625" customWidth="1"/>
    <col min="22" max="22" style="1642" width="10.57421875" hidden="1"/>
  </cols>
  <sheetData>
    <row s="1373" customFormat="1" customHeight="1" ht="22.5" hidden="1">
      <c r="C1" s="679"/>
      <c r="G1" s="424">
        <v>4</v>
      </c>
      <c r="I1" s="424">
        <v>4</v>
      </c>
      <c r="U1" s="427"/>
      <c r="V1" s="424" t="s">
        <v>14</v>
      </c>
    </row>
    <row s="1373" customFormat="1" customHeight="1" ht="15" hidden="1">
      <c r="C2" s="679"/>
      <c r="U2" s="427"/>
      <c r="V2" s="424">
        <v>0</v>
      </c>
    </row>
    <row customHeight="1" ht="22.5" hidden="1">
      <c r="A3" s="512"/>
      <c r="B3" s="2404"/>
      <c r="C3" s="2405" t="s">
        <v>102</v>
      </c>
      <c r="D3" s="696" t="str">
        <f>B3&amp;".1"</f>
        <v>.1</v>
      </c>
      <c r="E3" s="697" t="s">
        <v>1097</v>
      </c>
      <c r="F3" s="698" t="s">
        <v>469</v>
      </c>
      <c r="G3" s="693"/>
      <c r="H3" s="408"/>
      <c r="I3" s="693"/>
      <c r="J3" s="408"/>
      <c r="K3" s="296" t="s">
        <v>1098</v>
      </c>
      <c r="V3" s="512">
        <v>0</v>
      </c>
    </row>
    <row customHeight="1" ht="15" hidden="1">
      <c r="A4" s="512"/>
      <c r="B4" s="2404"/>
      <c r="C4" s="2405"/>
      <c r="D4" s="696" t="str">
        <f>B3&amp;".2"</f>
        <v>.2</v>
      </c>
      <c r="E4" s="697" t="s">
        <v>1099</v>
      </c>
      <c r="F4" s="698" t="s">
        <v>469</v>
      </c>
      <c r="G4" s="1745" t="s">
        <v>28</v>
      </c>
      <c r="H4" s="408"/>
      <c r="I4" s="1745" t="s">
        <v>28</v>
      </c>
      <c r="J4" s="408"/>
      <c r="K4" s="296" t="s">
        <v>1100</v>
      </c>
      <c r="V4" s="512">
        <v>0</v>
      </c>
    </row>
    <row s="1373" customFormat="1" customHeight="1" ht="15" hidden="1">
      <c r="C5" s="679"/>
      <c r="U5" s="427"/>
      <c r="V5" s="424">
        <v>0</v>
      </c>
    </row>
    <row customHeight="1" ht="22.5" hidden="1">
      <c r="A6" s="512"/>
      <c r="B6" s="2404"/>
      <c r="C6" s="2405" t="s">
        <v>102</v>
      </c>
      <c r="D6" s="696" t="str">
        <f>B6&amp;".1"</f>
        <v>.1</v>
      </c>
      <c r="E6" s="697" t="s">
        <v>1101</v>
      </c>
      <c r="F6" s="698" t="s">
        <v>469</v>
      </c>
      <c r="G6" s="693"/>
      <c r="H6" s="408"/>
      <c r="I6" s="693"/>
      <c r="J6" s="408"/>
      <c r="K6" s="296" t="s">
        <v>1102</v>
      </c>
      <c r="V6" s="512">
        <v>0</v>
      </c>
    </row>
    <row customHeight="1" ht="15" hidden="1">
      <c r="A7" s="512"/>
      <c r="B7" s="2404"/>
      <c r="C7" s="2405"/>
      <c r="D7" s="696" t="str">
        <f>B6&amp;".2"</f>
        <v>.2</v>
      </c>
      <c r="E7" s="697" t="s">
        <v>1099</v>
      </c>
      <c r="F7" s="698" t="s">
        <v>469</v>
      </c>
      <c r="G7" s="1745" t="s">
        <v>28</v>
      </c>
      <c r="H7" s="408"/>
      <c r="I7" s="1745" t="s">
        <v>28</v>
      </c>
      <c r="J7" s="408"/>
      <c r="K7" s="296" t="s">
        <v>1100</v>
      </c>
      <c r="V7" s="512">
        <v>0</v>
      </c>
    </row>
    <row s="1373" customFormat="1" customHeight="1" ht="15" hidden="1">
      <c r="C8" s="679"/>
      <c r="U8" s="427"/>
      <c r="V8" s="424">
        <v>0</v>
      </c>
    </row>
    <row customHeight="1" ht="22.5" hidden="1">
      <c r="A9" s="512"/>
      <c r="B9" s="2404"/>
      <c r="C9" s="2405" t="s">
        <v>102</v>
      </c>
      <c r="D9" s="696" t="str">
        <f>B9&amp;".1"</f>
        <v>.1</v>
      </c>
      <c r="E9" s="697" t="s">
        <v>1103</v>
      </c>
      <c r="F9" s="698" t="s">
        <v>469</v>
      </c>
      <c r="G9" s="704" t="s">
        <v>28</v>
      </c>
      <c r="H9" s="408" t="s">
        <v>28</v>
      </c>
      <c r="I9" s="704" t="s">
        <v>28</v>
      </c>
      <c r="J9" s="408" t="s">
        <v>28</v>
      </c>
      <c r="K9" s="296"/>
      <c r="V9" s="512">
        <v>0</v>
      </c>
    </row>
    <row customHeight="1" ht="15" hidden="1">
      <c r="A10" s="512"/>
      <c r="B10" s="2404"/>
      <c r="C10" s="2405"/>
      <c r="D10" s="696" t="str">
        <f>B9&amp;".2"</f>
        <v>.2</v>
      </c>
      <c r="E10" s="697" t="s">
        <v>1104</v>
      </c>
      <c r="F10" s="698" t="s">
        <v>469</v>
      </c>
      <c r="G10" s="1739" t="s">
        <v>28</v>
      </c>
      <c r="H10" s="408" t="s">
        <v>28</v>
      </c>
      <c r="I10" s="1739" t="s">
        <v>28</v>
      </c>
      <c r="J10" s="408" t="s">
        <v>28</v>
      </c>
      <c r="K10" s="296" t="s">
        <v>1105</v>
      </c>
      <c r="V10" s="512">
        <v>0</v>
      </c>
    </row>
    <row customHeight="1" ht="15" hidden="1">
      <c r="A11" s="512"/>
      <c r="B11" s="2404"/>
      <c r="C11" s="2405"/>
      <c r="D11" s="696" t="str">
        <f>B9&amp;".3"</f>
        <v>.3</v>
      </c>
      <c r="E11" s="697" t="s">
        <v>1106</v>
      </c>
      <c r="F11" s="698" t="s">
        <v>469</v>
      </c>
      <c r="G11" s="1739" t="s">
        <v>28</v>
      </c>
      <c r="H11" s="408" t="s">
        <v>28</v>
      </c>
      <c r="I11" s="1739" t="s">
        <v>28</v>
      </c>
      <c r="J11" s="408" t="s">
        <v>28</v>
      </c>
      <c r="K11" s="296" t="s">
        <v>1107</v>
      </c>
      <c r="V11" s="512">
        <v>0</v>
      </c>
    </row>
    <row s="1373" customFormat="1" customHeight="1" ht="15" hidden="1">
      <c r="C12" s="679"/>
      <c r="U12" s="427"/>
      <c r="V12" s="424">
        <v>0</v>
      </c>
    </row>
    <row customHeight="1" ht="33.75" hidden="1">
      <c r="A13" s="512"/>
      <c r="B13" s="2404"/>
      <c r="C13" s="2405" t="s">
        <v>102</v>
      </c>
      <c r="D13" s="696" t="str">
        <f>B13&amp;".1"</f>
        <v>.1</v>
      </c>
      <c r="E13" s="697" t="s">
        <v>1108</v>
      </c>
      <c r="F13" s="698" t="s">
        <v>469</v>
      </c>
      <c r="G13" s="704" t="s">
        <v>28</v>
      </c>
      <c r="H13" s="408" t="s">
        <v>28</v>
      </c>
      <c r="I13" s="704" t="s">
        <v>28</v>
      </c>
      <c r="J13" s="408" t="s">
        <v>28</v>
      </c>
      <c r="K13" s="296" t="s">
        <v>1109</v>
      </c>
      <c r="V13" s="512">
        <v>0</v>
      </c>
    </row>
    <row customHeight="1" ht="15" hidden="1">
      <c r="B14" s="2404"/>
      <c r="C14" s="2405"/>
      <c r="D14" s="696" t="str">
        <f>B13&amp;".2"</f>
        <v>.2</v>
      </c>
      <c r="E14" s="697" t="s">
        <v>1110</v>
      </c>
      <c r="F14" s="698" t="s">
        <v>469</v>
      </c>
      <c r="G14" s="1739" t="s">
        <v>28</v>
      </c>
      <c r="H14" s="408" t="s">
        <v>28</v>
      </c>
      <c r="I14" s="1739" t="s">
        <v>28</v>
      </c>
      <c r="J14" s="408" t="s">
        <v>28</v>
      </c>
      <c r="K14" s="296" t="s">
        <v>1111</v>
      </c>
      <c r="V14" s="512">
        <v>0</v>
      </c>
    </row>
    <row s="1373" customFormat="1" customHeight="1" ht="15" hidden="1">
      <c r="C15" s="679"/>
      <c r="U15" s="427"/>
      <c r="V15" s="424">
        <v>0</v>
      </c>
    </row>
    <row s="1373" customFormat="1" customHeight="1" ht="15" hidden="1">
      <c r="C16" s="679"/>
      <c r="U16" s="427"/>
      <c r="V16" s="424">
        <v>0</v>
      </c>
    </row>
    <row s="1373" customFormat="1" customHeight="1" ht="15" hidden="1">
      <c r="C17" s="679"/>
      <c r="U17" s="427"/>
      <c r="V17" s="424">
        <v>0</v>
      </c>
    </row>
    <row s="1373" customFormat="1" customHeight="1" ht="15" hidden="1">
      <c r="C18" s="679"/>
      <c r="U18" s="427"/>
      <c r="V18" s="424">
        <v>0</v>
      </c>
    </row>
    <row s="1373" customFormat="1" customHeight="1" ht="15" hidden="1">
      <c r="C19" s="679"/>
      <c r="U19" s="427"/>
      <c r="V19" s="424">
        <v>0</v>
      </c>
    </row>
    <row s="1373" customFormat="1" customHeight="1" ht="15" hidden="1">
      <c r="C20" s="679"/>
      <c r="U20" s="427"/>
      <c r="V20" s="424">
        <v>0</v>
      </c>
    </row>
    <row customHeight="1" ht="15.75">
      <c r="C21" s="183"/>
      <c r="D21" s="516"/>
      <c r="E21" s="516"/>
      <c r="F21" s="516"/>
      <c r="G21" s="516"/>
      <c r="H21" s="516"/>
      <c r="I21" s="516"/>
      <c r="J21" s="516"/>
      <c r="V21" s="512">
        <v>15</v>
      </c>
    </row>
    <row customHeight="1" ht="23.25">
      <c r="C22" s="183"/>
      <c r="D22" s="224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44"/>
      <c r="F22" s="2244"/>
      <c r="G22" s="2244"/>
      <c r="H22" s="2244"/>
      <c r="I22" s="2244"/>
      <c r="J22" s="683"/>
      <c r="K22" s="544"/>
      <c r="V22" s="512">
        <v>22</v>
      </c>
    </row>
    <row customHeight="1" ht="15.75">
      <c r="C23" s="183"/>
      <c r="D23" s="2183" t="str">
        <f>IF(org=0,"Не определено",org)</f>
        <v>ГУП "Белоблводоканал"</v>
      </c>
      <c r="E23" s="2183"/>
      <c r="F23" s="2183"/>
      <c r="G23" s="2183"/>
      <c r="H23" s="2183"/>
      <c r="I23" s="2183"/>
      <c r="J23" s="683"/>
      <c r="K23" s="544"/>
      <c r="V23" s="512">
        <v>15</v>
      </c>
    </row>
    <row customHeight="1" ht="15.75">
      <c r="C24" s="183"/>
      <c r="D24" s="516"/>
      <c r="E24" s="516"/>
      <c r="F24" s="516"/>
      <c r="G24" s="544">
        <v>22</v>
      </c>
      <c r="H24" s="759"/>
      <c r="I24" s="544">
        <v>22</v>
      </c>
      <c r="J24" s="759"/>
      <c r="V24" s="512">
        <v>15</v>
      </c>
    </row>
    <row s="1642" customFormat="1" customHeight="1" ht="1.05">
      <c r="A25" s="766"/>
      <c r="C25" s="183"/>
      <c r="D25" s="516"/>
      <c r="E25" s="516"/>
      <c r="F25" s="516"/>
      <c r="G25" s="544"/>
      <c r="H25" s="759"/>
      <c r="I25" s="544" t="s">
        <v>209</v>
      </c>
      <c r="J25" s="759"/>
      <c r="K25" s="424"/>
      <c r="U25" s="682"/>
      <c r="V25" s="765">
        <v>1</v>
      </c>
    </row>
    <row customHeight="1" ht="15.75">
      <c r="C26" s="183"/>
      <c r="D26" s="718"/>
      <c r="E26" s="2374" t="s">
        <v>201</v>
      </c>
      <c r="F26" s="2375"/>
      <c r="G26" s="2402" t="str">
        <f>IF(G25="","",INDEX(DIFFERENTIATION_UNMERGE_VD,MATCH(G25,DIFFERENTIATION_ID_DIFF,0)))</f>
        <v/>
      </c>
      <c r="H26" s="2403"/>
      <c r="I26" s="2402">
        <f>IF(I25="","",INDEX(DIFFERENTIATION_UNMERGE_VD,MATCH(I25,DIFFERENTIATION_ID_DIFF,0)))</f>
        <v>0</v>
      </c>
      <c r="J26" s="2403"/>
      <c r="K26" s="2182" t="s">
        <v>464</v>
      </c>
      <c r="V26" s="512">
        <v>15</v>
      </c>
    </row>
    <row s="1642" customFormat="1" customHeight="1" ht="15.75">
      <c r="A27" s="766"/>
      <c r="C27" s="183"/>
      <c r="D27" s="718"/>
      <c r="E27" s="2374" t="s">
        <v>726</v>
      </c>
      <c r="F27" s="2375"/>
      <c r="G27" s="2402" t="str">
        <f>IF(G25="","",INDEX(DIFFERENTIATION_UNMERGE_AREA,MATCH(G25,DIFFERENTIATION_ID_DIFF,0)))</f>
        <v/>
      </c>
      <c r="H27" s="2403"/>
      <c r="I27" s="2402" t="str">
        <f>IF(I25="","",INDEX(DIFFERENTIATION_UNMERGE_AREA,MATCH(I25,DIFFERENTIATION_ID_DIFF,0)))</f>
        <v/>
      </c>
      <c r="J27" s="2403"/>
      <c r="K27" s="2202"/>
      <c r="U27" s="682"/>
      <c r="V27" s="765">
        <v>15</v>
      </c>
    </row>
    <row s="1642" customFormat="1" customHeight="1" ht="15.75">
      <c r="A28" s="766"/>
      <c r="C28" s="183"/>
      <c r="D28" s="718"/>
      <c r="E28" s="2374" t="s">
        <v>727</v>
      </c>
      <c r="F28" s="2375"/>
      <c r="G28" s="2402" t="str">
        <f>IF(G25="","",INDEX(DIFFERENTIATION_UNMERGE_SYSTEM,MATCH(G25,DIFFERENTIATION_ID_DIFF,0)))</f>
        <v/>
      </c>
      <c r="H28" s="2403"/>
      <c r="I28" s="2402" t="str">
        <f>IF(I25="","",INDEX(DIFFERENTIATION_UNMERGE_SYSTEM,MATCH(I25,DIFFERENTIATION_ID_DIFF,0)))</f>
        <v>без дифференциации</v>
      </c>
      <c r="J28" s="2403"/>
      <c r="K28" s="2202"/>
      <c r="U28" s="682"/>
      <c r="V28" s="765">
        <v>15</v>
      </c>
    </row>
    <row s="1642" customFormat="1" customHeight="1" ht="15.75">
      <c r="A29" s="766"/>
      <c r="C29" s="183"/>
      <c r="D29" s="2376" t="s">
        <v>463</v>
      </c>
      <c r="E29" s="2377"/>
      <c r="F29" s="2377"/>
      <c r="G29" s="894"/>
      <c r="H29" s="894"/>
      <c r="I29" s="894"/>
      <c r="J29" s="895"/>
      <c r="K29" s="2202"/>
      <c r="U29" s="682"/>
      <c r="V29" s="765">
        <v>15</v>
      </c>
    </row>
    <row customHeight="1" ht="35.699999999999996">
      <c r="C30" s="183"/>
      <c r="D30" s="768" t="s">
        <v>88</v>
      </c>
      <c r="E30" s="767" t="s">
        <v>465</v>
      </c>
      <c r="F30" s="767" t="s">
        <v>728</v>
      </c>
      <c r="G30" s="815" t="s">
        <v>466</v>
      </c>
      <c r="H30" s="814" t="s">
        <v>553</v>
      </c>
      <c r="I30" s="691" t="s">
        <v>466</v>
      </c>
      <c r="J30" s="472" t="s">
        <v>553</v>
      </c>
      <c r="K30" s="2208"/>
      <c r="V30" s="512">
        <v>34</v>
      </c>
    </row>
    <row customHeight="1" ht="15" hidden="1">
      <c r="C31" s="183"/>
      <c r="D31" s="600"/>
      <c r="E31" s="600"/>
      <c r="F31" s="600"/>
      <c r="G31" s="666"/>
      <c r="H31" s="666"/>
      <c r="I31" s="666"/>
      <c r="J31" s="666"/>
      <c r="K31" s="296"/>
      <c r="V31" s="512">
        <v>0</v>
      </c>
    </row>
    <row customHeight="1" ht="24">
      <c r="A32" s="512"/>
      <c r="B32" s="512" t="s">
        <v>1112</v>
      </c>
      <c r="C32" s="533"/>
      <c r="D32" s="699">
        <v>1</v>
      </c>
      <c r="E32" s="700" t="s">
        <v>1113</v>
      </c>
      <c r="F32" s="698" t="s">
        <v>469</v>
      </c>
      <c r="G32" s="820" t="s">
        <v>469</v>
      </c>
      <c r="H32" s="820" t="s">
        <v>469</v>
      </c>
      <c r="I32" s="698" t="s">
        <v>469</v>
      </c>
      <c r="J32" s="698" t="s">
        <v>469</v>
      </c>
      <c r="K32" s="296"/>
      <c r="V32" s="512">
        <v>23</v>
      </c>
    </row>
    <row customHeight="1" ht="11.549999999999999">
      <c r="A33" s="512"/>
      <c r="C33" s="512"/>
      <c r="D33" s="354"/>
      <c r="E33" s="587" t="s">
        <v>748</v>
      </c>
      <c r="F33" s="579"/>
      <c r="G33" s="579"/>
      <c r="H33" s="579"/>
      <c r="I33" s="579"/>
      <c r="J33" s="579"/>
      <c r="K33" s="580"/>
      <c r="U33" s="512"/>
      <c r="V33" s="512">
        <v>11</v>
      </c>
    </row>
    <row customHeight="1" ht="24">
      <c r="A34" s="512"/>
      <c r="B34" s="588" t="s">
        <v>798</v>
      </c>
      <c r="C34" s="533"/>
      <c r="D34" s="699">
        <v>2</v>
      </c>
      <c r="E34" s="700" t="s">
        <v>1114</v>
      </c>
      <c r="F34" s="827" t="s">
        <v>469</v>
      </c>
      <c r="G34" s="827" t="s">
        <v>469</v>
      </c>
      <c r="H34" s="827" t="s">
        <v>469</v>
      </c>
      <c r="I34" s="698"/>
      <c r="J34" s="698"/>
      <c r="K34" s="296"/>
      <c r="V34" s="512">
        <v>23</v>
      </c>
    </row>
    <row customHeight="1" ht="11.549999999999999">
      <c r="A35" s="512"/>
      <c r="C35" s="512"/>
      <c r="D35" s="354"/>
      <c r="E35" s="587" t="s">
        <v>1115</v>
      </c>
      <c r="F35" s="579"/>
      <c r="G35" s="701"/>
      <c r="H35" s="579"/>
      <c r="I35" s="701"/>
      <c r="J35" s="579"/>
      <c r="K35" s="580"/>
      <c r="U35" s="512"/>
      <c r="V35" s="512">
        <v>11</v>
      </c>
    </row>
    <row customHeight="1" ht="71.25">
      <c r="A36" s="512"/>
      <c r="B36" s="512" t="s">
        <v>1116</v>
      </c>
      <c r="C36" s="533"/>
      <c r="D36" s="699">
        <v>3</v>
      </c>
      <c r="E36" s="700" t="s">
        <v>1117</v>
      </c>
      <c r="F36" s="702" t="s">
        <v>469</v>
      </c>
      <c r="G36" s="821" t="s">
        <v>1118</v>
      </c>
      <c r="H36" s="820" t="s">
        <v>469</v>
      </c>
      <c r="I36" s="531" t="s">
        <v>1118</v>
      </c>
      <c r="J36" s="698" t="s">
        <v>469</v>
      </c>
      <c r="K36" s="296" t="s">
        <v>1119</v>
      </c>
      <c r="V36" s="512">
        <v>68</v>
      </c>
    </row>
    <row customHeight="1" ht="11.549999999999999">
      <c r="A37" s="512"/>
      <c r="C37" s="512"/>
      <c r="D37" s="354"/>
      <c r="E37" s="587" t="s">
        <v>1120</v>
      </c>
      <c r="F37" s="579"/>
      <c r="G37" s="701"/>
      <c r="H37" s="701"/>
      <c r="I37" s="701"/>
      <c r="J37" s="701"/>
      <c r="K37" s="580"/>
      <c r="U37" s="512"/>
      <c r="V37" s="512">
        <v>11</v>
      </c>
    </row>
    <row customHeight="1" ht="71.25">
      <c r="A38" s="512"/>
      <c r="B38" s="512" t="s">
        <v>1121</v>
      </c>
      <c r="C38" s="533"/>
      <c r="D38" s="699">
        <v>4</v>
      </c>
      <c r="E38" s="700" t="s">
        <v>1122</v>
      </c>
      <c r="F38" s="702" t="s">
        <v>469</v>
      </c>
      <c r="G38" s="821" t="s">
        <v>1118</v>
      </c>
      <c r="H38" s="822" t="s">
        <v>469</v>
      </c>
      <c r="I38" s="531" t="s">
        <v>1118</v>
      </c>
      <c r="J38" s="528" t="s">
        <v>469</v>
      </c>
      <c r="K38" s="686" t="s">
        <v>1123</v>
      </c>
      <c r="V38" s="512">
        <v>68</v>
      </c>
    </row>
    <row customHeight="1" ht="11.549999999999999">
      <c r="A39" s="512"/>
      <c r="C39" s="512"/>
      <c r="D39" s="354"/>
      <c r="E39" s="587" t="s">
        <v>1124</v>
      </c>
      <c r="F39" s="579"/>
      <c r="G39" s="579"/>
      <c r="H39" s="703"/>
      <c r="I39" s="579"/>
      <c r="J39" s="703"/>
      <c r="K39" s="580"/>
      <c r="U39" s="512"/>
      <c r="V39" s="512">
        <v>11</v>
      </c>
    </row>
    <row customHeight="1" ht="22.5" hidden="1">
      <c r="A40" s="456" t="s">
        <v>82</v>
      </c>
      <c r="B40" s="512">
        <v>0</v>
      </c>
      <c r="C40" s="690">
        <v>4</v>
      </c>
      <c r="D40" s="512">
        <v>6</v>
      </c>
      <c r="E40" s="512">
        <v>36</v>
      </c>
      <c r="F40" s="512">
        <v>9</v>
      </c>
      <c r="G40" s="765">
        <v>0</v>
      </c>
      <c r="H40" s="765">
        <v>0</v>
      </c>
      <c r="I40" s="512">
        <v>25</v>
      </c>
      <c r="J40" s="512">
        <v>33</v>
      </c>
      <c r="K40" s="424">
        <v>93</v>
      </c>
      <c r="L40" s="512">
        <v>10</v>
      </c>
      <c r="M40" s="512">
        <v>10</v>
      </c>
      <c r="N40" s="512">
        <v>10</v>
      </c>
      <c r="O40" s="512">
        <v>10</v>
      </c>
      <c r="P40" s="512">
        <v>10</v>
      </c>
      <c r="Q40" s="512">
        <v>10</v>
      </c>
      <c r="R40" s="512">
        <v>10</v>
      </c>
      <c r="S40" s="512">
        <v>10</v>
      </c>
      <c r="T40" s="512">
        <v>10</v>
      </c>
      <c r="U40" s="682">
        <v>10</v>
      </c>
      <c r="V40" s="512">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1F0E22-8B06-A45D-D4A5-8EF663AF8104}"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73" width="6.7109375" hidden="1" customWidth="1"/>
    <col min="4" max="4" style="1373" width="6.7109375" hidden="1" customWidth="1"/>
    <col min="5" max="5" style="1642" width="3.00390625" customWidth="1"/>
    <col min="6" max="6" style="1642" width="6.00390625" customWidth="1"/>
    <col min="7" max="7" style="1642" width="37.00390625" customWidth="1"/>
    <col min="8" max="8" style="1642" width="16.00390625" customWidth="1"/>
    <col min="9" max="10" style="1642" width="19.00390625" customWidth="1"/>
    <col min="11" max="11" style="1642" width="24.00390625" customWidth="1"/>
    <col min="12" max="13" style="1642" width="25.00390625" customWidth="1"/>
    <col min="14" max="16" style="1642" width="17.00390625" customWidth="1"/>
    <col min="17" max="24" style="1642" width="19.00390625" customWidth="1"/>
    <col min="25" max="25" style="1642" width="7.00390625" customWidth="1"/>
    <col min="26" max="26" style="1642" width="3.00390625" customWidth="1"/>
    <col min="27" max="27" style="1642" width="6.00390625" customWidth="1"/>
    <col min="28" max="28" style="1642" width="34.00390625" customWidth="1"/>
    <col min="29" max="30" style="1642" width="8.00390625" customWidth="1"/>
    <col min="31" max="31" style="1642" width="9.140625" hidden="1"/>
  </cols>
  <sheetData>
    <row s="1373" customFormat="1" customHeight="1" ht="10.5" hidden="1">
      <c r="A1" s="902"/>
      <c r="B1" s="902"/>
      <c r="C1" s="902"/>
      <c r="E1" s="544"/>
      <c r="H1" s="1167"/>
      <c r="AE1" s="424" t="s">
        <v>14</v>
      </c>
    </row>
    <row customHeight="1" ht="10.5" hidden="1">
      <c r="AE2" s="765">
        <v>0</v>
      </c>
    </row>
    <row s="1639" customFormat="1" customHeight="1" ht="10.5" hidden="1">
      <c r="A3" s="902"/>
      <c r="B3" s="902"/>
      <c r="C3" s="902"/>
      <c r="D3" s="424"/>
      <c r="E3" s="369"/>
      <c r="G3" s="1639" t="s">
        <v>1125</v>
      </c>
      <c r="H3" s="1163"/>
      <c r="AE3" s="766">
        <v>0</v>
      </c>
    </row>
    <row customHeight="1" ht="3">
      <c r="AE4" s="765">
        <v>3</v>
      </c>
    </row>
    <row customHeight="1" ht="27.299999999999997">
      <c r="F5" s="2255" t="str">
        <f>IP_NAME_FORM</f>
        <v>Форма 7. Информация об инвестиционных программах организации холодного водоснабжения и отчетах об их исполнении</v>
      </c>
      <c r="G5" s="2255"/>
      <c r="H5" s="2255"/>
      <c r="I5" s="2255"/>
      <c r="J5" s="2255"/>
      <c r="K5" s="2255"/>
      <c r="M5" s="589"/>
      <c r="AB5" s="913"/>
      <c r="AE5" s="765">
        <v>26</v>
      </c>
    </row>
    <row s="1642" customFormat="1" customHeight="1" ht="16.8">
      <c r="A6" s="1173"/>
      <c r="B6" s="1173"/>
      <c r="C6" s="1173"/>
      <c r="D6" s="1167"/>
      <c r="E6" s="1642"/>
      <c r="F6" s="2256" t="str">
        <f>IF(org=0,"Не определено",org)</f>
        <v>ГУП "Белоблводоканал"</v>
      </c>
      <c r="G6" s="2256"/>
      <c r="H6" s="2256"/>
      <c r="I6" s="2256"/>
      <c r="J6" s="2256"/>
      <c r="K6" s="2256"/>
      <c r="M6" s="589"/>
      <c r="AB6" s="1155"/>
      <c r="AE6" s="1638">
        <v>16</v>
      </c>
    </row>
    <row customHeight="1" ht="10.5">
      <c r="AE7" s="765">
        <v>10</v>
      </c>
    </row>
    <row customHeight="1" ht="10.5">
      <c r="A8" s="1058"/>
      <c r="B8" s="1058"/>
      <c r="C8" s="1058"/>
      <c r="F8" s="2108" t="s">
        <v>463</v>
      </c>
      <c r="G8" s="2109"/>
      <c r="H8" s="2109"/>
      <c r="I8" s="2109"/>
      <c r="J8" s="2109"/>
      <c r="K8" s="2109"/>
      <c r="L8" s="2109"/>
      <c r="M8" s="2109"/>
      <c r="N8" s="2109"/>
      <c r="O8" s="2109"/>
      <c r="P8" s="2109"/>
      <c r="Q8" s="2109"/>
      <c r="R8" s="2109"/>
      <c r="S8" s="2109"/>
      <c r="T8" s="2109"/>
      <c r="U8" s="2109"/>
      <c r="V8" s="2109"/>
      <c r="W8" s="2109"/>
      <c r="X8" s="2109"/>
      <c r="Y8" s="2109"/>
      <c r="Z8" s="2109"/>
      <c r="AA8" s="2109"/>
      <c r="AB8" s="2110"/>
      <c r="AE8" s="765">
        <v>10</v>
      </c>
    </row>
    <row customHeight="1" ht="43.050000000000004">
      <c r="A9" s="912"/>
      <c r="B9" s="912"/>
      <c r="C9" s="912"/>
      <c r="F9" s="2134" t="s">
        <v>88</v>
      </c>
      <c r="G9" s="2134" t="s">
        <v>1125</v>
      </c>
      <c r="H9" s="2182" t="s">
        <v>1126</v>
      </c>
      <c r="I9" s="2134" t="s">
        <v>1127</v>
      </c>
      <c r="J9" s="2134" t="s">
        <v>1128</v>
      </c>
      <c r="K9" s="2134" t="s">
        <v>1129</v>
      </c>
      <c r="L9" s="2134" t="s">
        <v>1130</v>
      </c>
      <c r="M9" s="2134" t="s">
        <v>1131</v>
      </c>
      <c r="N9" s="2216" t="s">
        <v>1132</v>
      </c>
      <c r="O9" s="2216"/>
      <c r="P9" s="2216"/>
      <c r="Q9" s="2406" t="s">
        <v>1133</v>
      </c>
      <c r="R9" s="2407"/>
      <c r="S9" s="2407"/>
      <c r="T9" s="2408"/>
      <c r="U9" s="2406" t="s">
        <v>1134</v>
      </c>
      <c r="V9" s="2407"/>
      <c r="W9" s="2407"/>
      <c r="X9" s="2408"/>
      <c r="Y9" s="2108" t="s">
        <v>1135</v>
      </c>
      <c r="Z9" s="2109"/>
      <c r="AA9" s="2109"/>
      <c r="AB9" s="2110"/>
      <c r="AE9" s="765">
        <v>41</v>
      </c>
    </row>
    <row customHeight="1" ht="43.050000000000004">
      <c r="A10" s="912"/>
      <c r="B10" s="912"/>
      <c r="C10" s="912"/>
      <c r="F10" s="2182"/>
      <c r="G10" s="2182"/>
      <c r="H10" s="2239"/>
      <c r="I10" s="2182"/>
      <c r="J10" s="2182"/>
      <c r="K10" s="2182"/>
      <c r="L10" s="2182"/>
      <c r="M10" s="2182"/>
      <c r="N10" s="910" t="s">
        <v>1136</v>
      </c>
      <c r="O10" s="910" t="s">
        <v>1137</v>
      </c>
      <c r="P10" s="911" t="s">
        <v>1138</v>
      </c>
      <c r="Q10" s="922" t="s">
        <v>89</v>
      </c>
      <c r="R10" s="922" t="s">
        <v>1139</v>
      </c>
      <c r="S10" s="922" t="s">
        <v>1140</v>
      </c>
      <c r="T10" s="923" t="s">
        <v>1141</v>
      </c>
      <c r="U10" s="922" t="s">
        <v>89</v>
      </c>
      <c r="V10" s="922" t="s">
        <v>1142</v>
      </c>
      <c r="W10" s="922" t="s">
        <v>1140</v>
      </c>
      <c r="X10" s="923" t="s">
        <v>1141</v>
      </c>
      <c r="Y10" s="308" t="s">
        <v>1143</v>
      </c>
      <c r="Z10" s="2108" t="s">
        <v>88</v>
      </c>
      <c r="AA10" s="2110"/>
      <c r="AB10" s="1056" t="s">
        <v>1144</v>
      </c>
      <c r="AE10" s="765">
        <v>41</v>
      </c>
    </row>
    <row s="1649" customFormat="1" customHeight="1" ht="5.25" hidden="1">
      <c r="A11" s="1059"/>
      <c r="B11" s="1059"/>
      <c r="C11" s="1059"/>
      <c r="E11" s="1057"/>
      <c r="F11" s="2413" t="s">
        <v>539</v>
      </c>
      <c r="G11" s="2410"/>
      <c r="H11" s="2409"/>
      <c r="I11" s="2409"/>
      <c r="J11" s="2409"/>
      <c r="K11" s="2411"/>
      <c r="L11" s="2411"/>
      <c r="M11" s="2411"/>
      <c r="N11" s="2409"/>
      <c r="O11" s="2409"/>
      <c r="P11" s="2134"/>
      <c r="Q11" s="2186"/>
      <c r="R11" s="2186"/>
      <c r="S11" s="2186"/>
      <c r="T11" s="2409"/>
      <c r="U11" s="2186"/>
      <c r="V11" s="2186"/>
      <c r="W11" s="2186"/>
      <c r="X11" s="2409"/>
      <c r="Y11" s="2115"/>
      <c r="Z11" s="2115"/>
      <c r="AA11" s="2115"/>
      <c r="AB11" s="2115"/>
      <c r="AD11" s="518" t="s">
        <v>1145</v>
      </c>
      <c r="AE11" s="518">
        <v>0</v>
      </c>
    </row>
    <row s="1649" customFormat="1" customHeight="1" ht="5.25" hidden="1">
      <c r="A12" s="903"/>
      <c r="B12" s="903"/>
      <c r="C12" s="903"/>
      <c r="E12" s="525"/>
      <c r="F12" s="2413"/>
      <c r="G12" s="2410"/>
      <c r="H12" s="2409"/>
      <c r="I12" s="2409"/>
      <c r="J12" s="2409"/>
      <c r="K12" s="2411"/>
      <c r="L12" s="2411"/>
      <c r="M12" s="2411"/>
      <c r="N12" s="2409"/>
      <c r="O12" s="2409"/>
      <c r="P12" s="2134"/>
      <c r="Q12" s="2186"/>
      <c r="R12" s="2186"/>
      <c r="S12" s="2186"/>
      <c r="T12" s="2409"/>
      <c r="U12" s="2186"/>
      <c r="V12" s="2186"/>
      <c r="W12" s="2186"/>
      <c r="X12" s="2409"/>
      <c r="Y12" s="2412"/>
      <c r="Z12" s="2412"/>
      <c r="AA12" s="2412"/>
      <c r="AB12" s="2412"/>
      <c r="AE12" s="518">
        <v>0</v>
      </c>
    </row>
    <row customHeight="1" ht="10.5">
      <c r="F13" s="909"/>
      <c r="G13" s="657" t="s">
        <v>1146</v>
      </c>
      <c r="H13" s="1175"/>
      <c r="I13" s="579"/>
      <c r="J13" s="579"/>
      <c r="K13" s="579"/>
      <c r="L13" s="579"/>
      <c r="M13" s="579"/>
      <c r="N13" s="579"/>
      <c r="O13" s="579"/>
      <c r="P13" s="579"/>
      <c r="Q13" s="579"/>
      <c r="R13" s="579"/>
      <c r="S13" s="579"/>
      <c r="T13" s="579"/>
      <c r="U13" s="579"/>
      <c r="V13" s="579"/>
      <c r="W13" s="579"/>
      <c r="X13" s="579"/>
      <c r="Y13" s="579"/>
      <c r="Z13" s="703"/>
      <c r="AA13" s="703"/>
      <c r="AB13" s="924"/>
      <c r="AE13" s="765">
        <v>10</v>
      </c>
    </row>
    <row customHeight="1" ht="10.5">
      <c r="AE14" s="765">
        <v>10</v>
      </c>
    </row>
    <row s="1649" customFormat="1" customHeight="1" ht="10.5">
      <c r="A15" s="1174"/>
      <c r="B15" s="1174"/>
      <c r="C15" s="1174"/>
      <c r="E15" s="525"/>
      <c r="H15" s="518">
        <f>_xlfn.IFERROR(MATCH("нет",IP_MAIN_DIFFERENTIATION_EVENTS_FLAG,0),0)</f>
        <v>0</v>
      </c>
      <c r="AE15" s="518">
        <v>10</v>
      </c>
    </row>
    <row customHeight="1" ht="10.5" hidden="1">
      <c r="A16" s="902" t="s">
        <v>82</v>
      </c>
      <c r="B16" s="902">
        <v>0</v>
      </c>
      <c r="C16" s="902">
        <v>0</v>
      </c>
      <c r="D16" s="424">
        <v>0</v>
      </c>
      <c r="E16" s="516">
        <v>3</v>
      </c>
      <c r="F16" s="765">
        <v>6</v>
      </c>
      <c r="G16" s="765">
        <v>37</v>
      </c>
      <c r="H16" s="1162">
        <v>16</v>
      </c>
      <c r="I16" s="765">
        <v>19</v>
      </c>
      <c r="J16" s="765">
        <v>19</v>
      </c>
      <c r="K16" s="765">
        <v>24</v>
      </c>
      <c r="L16" s="765">
        <v>25</v>
      </c>
      <c r="M16" s="765">
        <v>25</v>
      </c>
      <c r="N16" s="765">
        <v>17</v>
      </c>
      <c r="O16" s="765">
        <v>17</v>
      </c>
      <c r="P16" s="765">
        <v>17</v>
      </c>
      <c r="Q16" s="765">
        <v>19</v>
      </c>
      <c r="R16" s="765">
        <v>19</v>
      </c>
      <c r="S16" s="765">
        <v>19</v>
      </c>
      <c r="T16" s="765">
        <v>19</v>
      </c>
      <c r="U16" s="765">
        <v>19</v>
      </c>
      <c r="V16" s="765">
        <v>19</v>
      </c>
      <c r="W16" s="765">
        <v>19</v>
      </c>
      <c r="X16" s="765">
        <v>19</v>
      </c>
      <c r="Y16" s="765">
        <v>7</v>
      </c>
      <c r="Z16" s="765">
        <v>3</v>
      </c>
      <c r="AA16" s="765">
        <v>6</v>
      </c>
      <c r="AB16" s="765">
        <v>34</v>
      </c>
      <c r="AC16" s="765">
        <v>8</v>
      </c>
      <c r="AD16" s="765">
        <v>8</v>
      </c>
      <c r="AE16" s="765">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4C7CC5-0944-B35C-22ED-616F1D9F452F}"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73" width="4.140625" hidden="1" customWidth="1"/>
    <col min="4" max="4" style="1373" width="4.140625" hidden="1" customWidth="1"/>
    <col min="5" max="5" style="1642" width="3.00390625" customWidth="1"/>
    <col min="6" max="6" style="1642" width="14.00390625" customWidth="1"/>
    <col min="7" max="7" style="1642" width="3.00390625" customWidth="1"/>
    <col min="8" max="8" style="1642" width="7.00390625" customWidth="1"/>
    <col min="9" max="10" style="1642" width="16.00390625" customWidth="1"/>
    <col min="11" max="11" style="1642" width="25.00390625" customWidth="1"/>
    <col min="12" max="12" style="1642" width="7.00390625" customWidth="1"/>
    <col min="13" max="13" style="1642" width="15.00390625" customWidth="1"/>
    <col min="14" max="14" style="1642" width="3.00390625" customWidth="1"/>
    <col min="15" max="15" style="1642" width="4.00390625" customWidth="1"/>
    <col min="16" max="16" style="1642" width="8.00390625" customWidth="1"/>
    <col min="17" max="17" style="1642" width="21.00390625" customWidth="1"/>
    <col min="18" max="18" style="1642" width="14.00390625" customWidth="1"/>
    <col min="19" max="20" style="1642" width="17.00390625" customWidth="1"/>
    <col min="21" max="21" style="1642" width="9.00390625" customWidth="1"/>
    <col min="22" max="22" style="1642" width="12.00390625" customWidth="1"/>
    <col min="23" max="23" style="1642" width="9.00390625" customWidth="1"/>
    <col min="24" max="24" style="1642" width="21.00390625" customWidth="1"/>
    <col min="25" max="25" style="1642" width="12.00390625" customWidth="1"/>
    <col min="26" max="26" style="1642" width="3.00390625" customWidth="1"/>
    <col min="27" max="27" style="1642" width="6.00390625" customWidth="1"/>
    <col min="28" max="28" style="1642" width="38.00390625" customWidth="1"/>
    <col min="29" max="29" style="1642" width="15.00390625" customWidth="1"/>
    <col min="30" max="30" style="1642" width="37.57421875" hidden="1" customWidth="1"/>
    <col min="31" max="31" style="1642" width="15.7109375" hidden="1" customWidth="1"/>
    <col min="32" max="34" style="1642" width="16.00390625" customWidth="1"/>
    <col min="35" max="37" style="1642" width="16.7109375" hidden="1" customWidth="1"/>
    <col min="38" max="58" style="1642" width="8.00390625" customWidth="1"/>
    <col min="59" max="59" style="1642" width="9.140625" hidden="1"/>
  </cols>
  <sheetData>
    <row s="1373" customFormat="1" customHeight="1" ht="10.5" hidden="1">
      <c r="A1" s="902"/>
      <c r="B1" s="902"/>
      <c r="C1" s="902"/>
      <c r="E1" s="544"/>
      <c r="H1" s="1167"/>
      <c r="L1" s="1135"/>
      <c r="M1" s="1135"/>
      <c r="AD1" s="1135"/>
      <c r="AH1" s="1154"/>
      <c r="AI1" s="1147"/>
      <c r="BG1" s="424" t="s">
        <v>14</v>
      </c>
    </row>
    <row customHeight="1" ht="10.5" hidden="1">
      <c r="BG2" s="765">
        <v>0</v>
      </c>
    </row>
    <row s="1639" customFormat="1" customHeight="1" ht="10.5" hidden="1">
      <c r="A3" s="902"/>
      <c r="B3" s="902"/>
      <c r="C3" s="902"/>
      <c r="D3" s="424"/>
      <c r="E3" s="369"/>
      <c r="H3" s="1163"/>
      <c r="L3" s="1133"/>
      <c r="M3" s="1133"/>
      <c r="AD3" s="1133"/>
      <c r="AH3" s="1152"/>
      <c r="AI3" s="1145"/>
      <c r="BG3" s="766">
        <v>0</v>
      </c>
    </row>
    <row customHeight="1" ht="3">
      <c r="BG4" s="765">
        <v>3</v>
      </c>
    </row>
    <row customHeight="1" ht="27.299999999999997">
      <c r="F5" s="2255" t="str">
        <f>IP_NAME_FORM</f>
        <v>Форма 7. Информация об инвестиционных программах организации холодного водоснабжения и отчетах об их исполнении</v>
      </c>
      <c r="G5" s="2255"/>
      <c r="H5" s="2255"/>
      <c r="I5" s="2255"/>
      <c r="J5" s="2255"/>
      <c r="K5" s="2255"/>
      <c r="L5" s="1142"/>
      <c r="M5" s="1142"/>
      <c r="AG5" s="913"/>
      <c r="AH5" s="1155"/>
      <c r="BG5" s="765">
        <v>26</v>
      </c>
    </row>
    <row customHeight="1" ht="10.5">
      <c r="F6" s="2183" t="str">
        <f>IF(org=0,"Не определено",org)</f>
        <v>ГУП "Белоблводоканал"</v>
      </c>
      <c r="G6" s="2183"/>
      <c r="H6" s="2183"/>
      <c r="I6" s="2183"/>
      <c r="J6" s="2183"/>
      <c r="K6" s="2183"/>
      <c r="L6" s="1143"/>
      <c r="M6" s="1143"/>
      <c r="BG6" s="765">
        <v>10</v>
      </c>
    </row>
    <row customHeight="1" ht="11.549999999999999">
      <c r="E7" s="915"/>
      <c r="F7" s="926"/>
      <c r="G7" s="926"/>
      <c r="H7" s="1191"/>
      <c r="I7" s="926"/>
      <c r="J7" s="926"/>
      <c r="K7" s="928"/>
      <c r="L7" s="1140"/>
      <c r="M7" s="1140"/>
      <c r="N7" s="926"/>
      <c r="O7" s="926"/>
      <c r="P7" s="926"/>
      <c r="Q7" s="928"/>
      <c r="R7" s="926"/>
      <c r="S7" s="926"/>
      <c r="T7" s="926"/>
      <c r="U7" s="926"/>
      <c r="V7" s="926"/>
      <c r="W7" s="926"/>
      <c r="X7" s="926"/>
      <c r="Y7" s="926"/>
      <c r="Z7" s="926"/>
      <c r="AA7" s="926"/>
      <c r="AB7" s="926"/>
      <c r="AC7" s="927"/>
      <c r="AD7" s="1139"/>
      <c r="AE7" s="927"/>
      <c r="AF7" s="926"/>
      <c r="AG7" s="926"/>
      <c r="AH7" s="1157"/>
      <c r="AI7" s="1150"/>
      <c r="AJ7" s="926"/>
      <c r="AK7" s="926"/>
      <c r="AL7" s="917"/>
      <c r="AM7" s="917"/>
      <c r="AN7" s="917"/>
      <c r="AO7" s="914"/>
      <c r="AP7" s="914"/>
      <c r="AQ7" s="914"/>
      <c r="AR7" s="914"/>
      <c r="AS7" s="914"/>
      <c r="AT7" s="914"/>
      <c r="AU7" s="914"/>
      <c r="AV7" s="914"/>
      <c r="AW7" s="914"/>
      <c r="AX7" s="914"/>
      <c r="AY7" s="914"/>
      <c r="AZ7" s="914"/>
      <c r="BA7" s="914"/>
      <c r="BB7" s="914"/>
      <c r="BC7" s="914"/>
      <c r="BD7" s="914"/>
      <c r="BE7" s="914"/>
      <c r="BF7" s="914"/>
      <c r="BG7" s="765">
        <v>11</v>
      </c>
    </row>
    <row customHeight="1" ht="10.5">
      <c r="E8" s="915"/>
      <c r="F8" s="2422" t="s">
        <v>463</v>
      </c>
      <c r="G8" s="2423"/>
      <c r="H8" s="2423"/>
      <c r="I8" s="2423"/>
      <c r="J8" s="2423"/>
      <c r="K8" s="2423"/>
      <c r="L8" s="2423"/>
      <c r="M8" s="2423"/>
      <c r="N8" s="2423"/>
      <c r="O8" s="2423"/>
      <c r="P8" s="2423"/>
      <c r="Q8" s="2423"/>
      <c r="R8" s="2423"/>
      <c r="S8" s="2423"/>
      <c r="T8" s="2423"/>
      <c r="U8" s="2423"/>
      <c r="V8" s="2423"/>
      <c r="W8" s="2423"/>
      <c r="X8" s="2423"/>
      <c r="Y8" s="2423"/>
      <c r="Z8" s="2423"/>
      <c r="AA8" s="2423"/>
      <c r="AB8" s="2423"/>
      <c r="AC8" s="2423"/>
      <c r="AD8" s="2423"/>
      <c r="AE8" s="2423"/>
      <c r="AF8" s="2423"/>
      <c r="AG8" s="2423"/>
      <c r="AH8" s="2423"/>
      <c r="AI8" s="2423"/>
      <c r="AJ8" s="2423"/>
      <c r="AK8" s="2424"/>
      <c r="AL8" s="916"/>
      <c r="AM8" s="914"/>
      <c r="AN8" s="914"/>
      <c r="AO8" s="914"/>
      <c r="AP8" s="914"/>
      <c r="AQ8" s="914"/>
      <c r="AR8" s="914"/>
      <c r="AS8" s="914"/>
      <c r="AT8" s="914"/>
      <c r="AU8" s="914"/>
      <c r="AV8" s="914"/>
      <c r="AW8" s="914"/>
      <c r="AX8" s="914"/>
      <c r="AY8" s="914"/>
      <c r="AZ8" s="914"/>
      <c r="BA8" s="914"/>
      <c r="BB8" s="914"/>
      <c r="BC8" s="914"/>
      <c r="BD8" s="914"/>
      <c r="BE8" s="914"/>
      <c r="BF8" s="914"/>
      <c r="BG8" s="765">
        <v>10</v>
      </c>
    </row>
    <row customHeight="1" ht="24">
      <c r="A9" s="912"/>
      <c r="B9" s="912"/>
      <c r="C9" s="912"/>
      <c r="E9" s="915"/>
      <c r="F9" s="2415" t="s">
        <v>1147</v>
      </c>
      <c r="G9" s="2416" t="s">
        <v>1148</v>
      </c>
      <c r="H9" s="2417"/>
      <c r="I9" s="2134" t="s">
        <v>1149</v>
      </c>
      <c r="J9" s="2134"/>
      <c r="K9" s="2134" t="s">
        <v>1150</v>
      </c>
      <c r="L9" s="2134"/>
      <c r="M9" s="2134"/>
      <c r="N9" s="2134"/>
      <c r="O9" s="2134"/>
      <c r="P9" s="2134"/>
      <c r="Q9" s="2134"/>
      <c r="R9" s="2134"/>
      <c r="S9" s="2134"/>
      <c r="T9" s="2134"/>
      <c r="U9" s="2134"/>
      <c r="V9" s="2134"/>
      <c r="W9" s="2134"/>
      <c r="X9" s="2134"/>
      <c r="Y9" s="2134"/>
      <c r="Z9" s="2199" t="s">
        <v>1151</v>
      </c>
      <c r="AA9" s="2200"/>
      <c r="AB9" s="2134" t="s">
        <v>1152</v>
      </c>
      <c r="AC9" s="2134"/>
      <c r="AD9" s="2134"/>
      <c r="AE9" s="2134"/>
      <c r="AF9" s="2182" t="s">
        <v>1153</v>
      </c>
      <c r="AG9" s="2134" t="s">
        <v>1154</v>
      </c>
      <c r="AH9" s="2134"/>
      <c r="AI9" s="2182" t="s">
        <v>1155</v>
      </c>
      <c r="AJ9" s="2134" t="s">
        <v>1156</v>
      </c>
      <c r="AK9" s="2134"/>
      <c r="AL9" s="1149"/>
      <c r="AM9" s="914"/>
      <c r="AN9" s="914"/>
      <c r="AO9" s="914"/>
      <c r="AP9" s="914"/>
      <c r="AQ9" s="914"/>
      <c r="AR9" s="914"/>
      <c r="AS9" s="914"/>
      <c r="AT9" s="914"/>
      <c r="AU9" s="914"/>
      <c r="AV9" s="914"/>
      <c r="AW9" s="914"/>
      <c r="AX9" s="914"/>
      <c r="AY9" s="914"/>
      <c r="AZ9" s="914"/>
      <c r="BA9" s="914"/>
      <c r="BB9" s="914"/>
      <c r="BC9" s="914"/>
      <c r="BD9" s="914"/>
      <c r="BE9" s="914"/>
      <c r="BF9" s="914"/>
      <c r="BG9" s="765">
        <v>23</v>
      </c>
    </row>
    <row customHeight="1" ht="25.2">
      <c r="A10" s="912"/>
      <c r="B10" s="912"/>
      <c r="C10" s="912"/>
      <c r="E10" s="919"/>
      <c r="F10" s="2415"/>
      <c r="G10" s="2418"/>
      <c r="H10" s="2419"/>
      <c r="I10" s="2134"/>
      <c r="J10" s="2134"/>
      <c r="K10" s="2134" t="s">
        <v>1157</v>
      </c>
      <c r="L10" s="2108" t="s">
        <v>1158</v>
      </c>
      <c r="M10" s="2110"/>
      <c r="N10" s="2134" t="s">
        <v>1159</v>
      </c>
      <c r="O10" s="2134"/>
      <c r="P10" s="2134"/>
      <c r="Q10" s="2134"/>
      <c r="R10" s="2134"/>
      <c r="S10" s="2134"/>
      <c r="T10" s="2134"/>
      <c r="U10" s="2134"/>
      <c r="V10" s="2134"/>
      <c r="W10" s="2134"/>
      <c r="X10" s="2134"/>
      <c r="Y10" s="2134"/>
      <c r="Z10" s="2201"/>
      <c r="AA10" s="2202"/>
      <c r="AB10" s="2134"/>
      <c r="AC10" s="2134"/>
      <c r="AD10" s="2134"/>
      <c r="AE10" s="2134"/>
      <c r="AF10" s="2206"/>
      <c r="AG10" s="2134"/>
      <c r="AH10" s="2134"/>
      <c r="AI10" s="2206"/>
      <c r="AJ10" s="2134"/>
      <c r="AK10" s="2134"/>
      <c r="AL10" s="1149"/>
      <c r="AM10" s="920"/>
      <c r="AN10" s="920"/>
      <c r="AO10" s="920"/>
      <c r="AP10" s="920"/>
      <c r="AQ10" s="920"/>
      <c r="AR10" s="920"/>
      <c r="AS10" s="920"/>
      <c r="AT10" s="920"/>
      <c r="AU10" s="920"/>
      <c r="AV10" s="920"/>
      <c r="AW10" s="920"/>
      <c r="AX10" s="920"/>
      <c r="AY10" s="920"/>
      <c r="AZ10" s="920"/>
      <c r="BA10" s="920"/>
      <c r="BB10" s="920"/>
      <c r="BC10" s="920"/>
      <c r="BD10" s="920"/>
      <c r="BE10" s="920"/>
      <c r="BF10" s="920"/>
      <c r="BG10" s="765">
        <v>24</v>
      </c>
    </row>
    <row s="1642" customFormat="1" customHeight="1" ht="25.2">
      <c r="A11" s="1136"/>
      <c r="B11" s="1136"/>
      <c r="C11" s="1136"/>
      <c r="D11" s="1135"/>
      <c r="E11" s="1137"/>
      <c r="F11" s="2415"/>
      <c r="G11" s="2418"/>
      <c r="H11" s="2419"/>
      <c r="I11" s="2134"/>
      <c r="J11" s="2134"/>
      <c r="K11" s="2134"/>
      <c r="L11" s="2182" t="s">
        <v>1160</v>
      </c>
      <c r="M11" s="2182" t="s">
        <v>1161</v>
      </c>
      <c r="N11" s="2134" t="s">
        <v>1162</v>
      </c>
      <c r="O11" s="2134"/>
      <c r="P11" s="2425" t="s">
        <v>1143</v>
      </c>
      <c r="Q11" s="2425" t="s">
        <v>1163</v>
      </c>
      <c r="R11" s="2425" t="s">
        <v>1164</v>
      </c>
      <c r="S11" s="2425" t="s">
        <v>1165</v>
      </c>
      <c r="T11" s="2425"/>
      <c r="U11" s="2425"/>
      <c r="V11" s="2425"/>
      <c r="W11" s="2425"/>
      <c r="X11" s="2425"/>
      <c r="Y11" s="2425"/>
      <c r="Z11" s="2201"/>
      <c r="AA11" s="2202"/>
      <c r="AB11" s="2134" t="s">
        <v>1166</v>
      </c>
      <c r="AC11" s="2134"/>
      <c r="AD11" s="2108" t="s">
        <v>1167</v>
      </c>
      <c r="AE11" s="2110"/>
      <c r="AF11" s="2206"/>
      <c r="AG11" s="2134"/>
      <c r="AH11" s="2134"/>
      <c r="AI11" s="2206"/>
      <c r="AJ11" s="2134"/>
      <c r="AK11" s="2134"/>
      <c r="AL11" s="1149"/>
      <c r="AM11" s="1134"/>
      <c r="AN11" s="1134"/>
      <c r="AO11" s="1134"/>
      <c r="AP11" s="1134"/>
      <c r="AQ11" s="1134"/>
      <c r="AR11" s="1134"/>
      <c r="AS11" s="1134"/>
      <c r="AT11" s="1134"/>
      <c r="AU11" s="1134"/>
      <c r="AV11" s="1134"/>
      <c r="AW11" s="1134"/>
      <c r="AX11" s="1134"/>
      <c r="AY11" s="1134"/>
      <c r="AZ11" s="1134"/>
      <c r="BA11" s="1134"/>
      <c r="BB11" s="1134"/>
      <c r="BC11" s="1134"/>
      <c r="BD11" s="1134"/>
      <c r="BE11" s="1134"/>
      <c r="BF11" s="1134"/>
      <c r="BG11" s="1132">
        <v>24</v>
      </c>
    </row>
    <row customHeight="1" ht="35.699999999999996">
      <c r="A12" s="912"/>
      <c r="B12" s="912"/>
      <c r="C12" s="912"/>
      <c r="E12" s="915"/>
      <c r="F12" s="2415"/>
      <c r="G12" s="2420"/>
      <c r="H12" s="2421"/>
      <c r="I12" s="1160" t="s">
        <v>89</v>
      </c>
      <c r="J12" s="1160" t="s">
        <v>1168</v>
      </c>
      <c r="K12" s="2134"/>
      <c r="L12" s="2239"/>
      <c r="M12" s="2239"/>
      <c r="N12" s="2134"/>
      <c r="O12" s="2134"/>
      <c r="P12" s="2425"/>
      <c r="Q12" s="2425"/>
      <c r="R12" s="2425"/>
      <c r="S12" s="1141" t="s">
        <v>86</v>
      </c>
      <c r="T12" s="1141" t="s">
        <v>87</v>
      </c>
      <c r="U12" s="1141" t="s">
        <v>85</v>
      </c>
      <c r="V12" s="1141" t="s">
        <v>1169</v>
      </c>
      <c r="W12" s="1141" t="s">
        <v>85</v>
      </c>
      <c r="X12" s="1141" t="s">
        <v>1170</v>
      </c>
      <c r="Y12" s="1141" t="s">
        <v>1171</v>
      </c>
      <c r="Z12" s="2207"/>
      <c r="AA12" s="2208"/>
      <c r="AB12" s="1148" t="s">
        <v>1172</v>
      </c>
      <c r="AC12" s="1148" t="s">
        <v>1173</v>
      </c>
      <c r="AD12" s="1148" t="s">
        <v>1172</v>
      </c>
      <c r="AE12" s="1148" t="s">
        <v>1173</v>
      </c>
      <c r="AF12" s="2239"/>
      <c r="AG12" s="1161" t="s">
        <v>1174</v>
      </c>
      <c r="AH12" s="1161" t="s">
        <v>1175</v>
      </c>
      <c r="AI12" s="2239"/>
      <c r="AJ12" s="1161" t="s">
        <v>1174</v>
      </c>
      <c r="AK12" s="1161" t="s">
        <v>1175</v>
      </c>
      <c r="AL12" s="1149"/>
      <c r="AM12" s="914"/>
      <c r="AN12" s="914"/>
      <c r="AO12" s="914"/>
      <c r="AP12" s="914"/>
      <c r="AQ12" s="914"/>
      <c r="AR12" s="914"/>
      <c r="AS12" s="914"/>
      <c r="AT12" s="914"/>
      <c r="AU12" s="914"/>
      <c r="AV12" s="914"/>
      <c r="AW12" s="914"/>
      <c r="AX12" s="914"/>
      <c r="AY12" s="914"/>
      <c r="AZ12" s="914"/>
      <c r="BA12" s="914"/>
      <c r="BB12" s="914"/>
      <c r="BC12" s="914"/>
      <c r="BD12" s="914"/>
      <c r="BE12" s="914"/>
      <c r="BF12" s="914"/>
      <c r="BG12" s="765">
        <v>34</v>
      </c>
    </row>
    <row customHeight="1" ht="1.05">
      <c r="E13" s="915"/>
      <c r="F13" s="1131">
        <v>0</v>
      </c>
      <c r="G13" s="1131"/>
      <c r="H13" s="1131"/>
      <c r="I13" s="1131"/>
      <c r="J13" s="1131"/>
      <c r="K13" s="1138"/>
      <c r="L13" s="1138"/>
      <c r="M13" s="1138"/>
      <c r="N13" s="1138"/>
      <c r="O13" s="1138"/>
      <c r="P13" s="1138"/>
      <c r="Q13" s="1138"/>
      <c r="R13" s="1138"/>
      <c r="S13" s="1138"/>
      <c r="T13" s="1138"/>
      <c r="U13" s="1138"/>
      <c r="V13" s="1138"/>
      <c r="W13" s="1138"/>
      <c r="X13" s="1138"/>
      <c r="Y13" s="1138"/>
      <c r="Z13" s="1138"/>
      <c r="AA13" s="1138"/>
      <c r="AB13" s="1138"/>
      <c r="AC13" s="1138"/>
      <c r="AD13" s="1138"/>
      <c r="AE13" s="1138"/>
      <c r="AF13" s="1138"/>
      <c r="AG13" s="1138"/>
      <c r="AH13" s="1156"/>
      <c r="AI13" s="1149"/>
      <c r="AJ13" s="1138"/>
      <c r="AK13" s="1138"/>
      <c r="AL13" s="916"/>
      <c r="AM13" s="914"/>
      <c r="AN13" s="914"/>
      <c r="AO13" s="914"/>
      <c r="AP13" s="914"/>
      <c r="AQ13" s="914"/>
      <c r="AR13" s="914"/>
      <c r="AS13" s="914"/>
      <c r="AT13" s="914"/>
      <c r="AU13" s="914"/>
      <c r="AV13" s="914"/>
      <c r="AW13" s="914"/>
      <c r="AX13" s="914"/>
      <c r="AY13" s="914"/>
      <c r="AZ13" s="914"/>
      <c r="BA13" s="914"/>
      <c r="BB13" s="914"/>
      <c r="BC13" s="914"/>
      <c r="BD13" s="914"/>
      <c r="BE13" s="914"/>
      <c r="BF13" s="914"/>
      <c r="BG13" s="765">
        <v>1</v>
      </c>
    </row>
    <row customHeight="1" ht="10.5">
      <c r="E14" s="914"/>
      <c r="F14" s="925"/>
      <c r="G14" s="925"/>
      <c r="H14" s="1179"/>
      <c r="I14" s="925"/>
      <c r="J14" s="925"/>
      <c r="K14" s="925"/>
      <c r="L14" s="1138"/>
      <c r="M14" s="1138"/>
      <c r="N14" s="925"/>
      <c r="O14" s="925"/>
      <c r="P14" s="925"/>
      <c r="Q14" s="925"/>
      <c r="R14" s="925"/>
      <c r="S14" s="925"/>
      <c r="T14" s="925"/>
      <c r="U14" s="925"/>
      <c r="V14" s="925"/>
      <c r="W14" s="925"/>
      <c r="X14" s="925"/>
      <c r="Y14" s="925"/>
      <c r="Z14" s="925"/>
      <c r="AA14" s="925"/>
      <c r="AB14" s="925"/>
      <c r="AC14" s="925"/>
      <c r="AD14" s="1138"/>
      <c r="AE14" s="925"/>
      <c r="AF14" s="925"/>
      <c r="AG14" s="925"/>
      <c r="AH14" s="1156"/>
      <c r="AI14" s="1149"/>
      <c r="AJ14" s="925"/>
      <c r="AK14" s="925"/>
      <c r="AL14" s="914"/>
      <c r="AM14" s="914"/>
      <c r="AN14" s="914"/>
      <c r="AO14" s="914"/>
      <c r="AP14" s="914"/>
      <c r="AQ14" s="914"/>
      <c r="AR14" s="914"/>
      <c r="AS14" s="914"/>
      <c r="AT14" s="914"/>
      <c r="AU14" s="914"/>
      <c r="AV14" s="914"/>
      <c r="AW14" s="914"/>
      <c r="AX14" s="914"/>
      <c r="AY14" s="914"/>
      <c r="AZ14" s="914"/>
      <c r="BA14" s="914"/>
      <c r="BB14" s="914"/>
      <c r="BC14" s="914"/>
      <c r="BD14" s="914"/>
      <c r="BE14" s="914"/>
      <c r="BF14" s="914"/>
      <c r="BG14" s="765">
        <v>10</v>
      </c>
    </row>
    <row customHeight="1" ht="13.5">
      <c r="E15" s="914"/>
      <c r="F15" s="921" t="s">
        <v>1176</v>
      </c>
      <c r="G15" s="921"/>
      <c r="H15" s="1178"/>
      <c r="I15" s="921"/>
      <c r="J15" s="921"/>
      <c r="K15" s="918"/>
      <c r="L15" s="1134"/>
      <c r="M15" s="1134"/>
      <c r="N15" s="920"/>
      <c r="O15" s="920"/>
      <c r="P15" s="920"/>
      <c r="Q15" s="920"/>
      <c r="R15" s="920"/>
      <c r="S15" s="920"/>
      <c r="T15" s="920"/>
      <c r="U15" s="920"/>
      <c r="V15" s="920"/>
      <c r="W15" s="920"/>
      <c r="X15" s="920"/>
      <c r="Y15" s="920"/>
      <c r="Z15" s="918"/>
      <c r="AA15" s="918"/>
      <c r="AB15" s="918"/>
      <c r="AC15" s="918"/>
      <c r="AD15" s="1134"/>
      <c r="AE15" s="918"/>
      <c r="AF15" s="918"/>
      <c r="AG15" s="918"/>
      <c r="AH15" s="1153"/>
      <c r="AI15" s="1146"/>
      <c r="AJ15" s="918"/>
      <c r="AK15" s="918"/>
      <c r="AL15" s="914"/>
      <c r="AM15" s="914"/>
      <c r="AN15" s="914"/>
      <c r="AO15" s="914"/>
      <c r="AP15" s="914"/>
      <c r="AQ15" s="914"/>
      <c r="AR15" s="914"/>
      <c r="AS15" s="914"/>
      <c r="AT15" s="914"/>
      <c r="AU15" s="914"/>
      <c r="AV15" s="914"/>
      <c r="AW15" s="914"/>
      <c r="AX15" s="914"/>
      <c r="AY15" s="914"/>
      <c r="AZ15" s="914"/>
      <c r="BA15" s="914"/>
      <c r="BB15" s="914"/>
      <c r="BC15" s="914"/>
      <c r="BD15" s="914"/>
      <c r="BE15" s="914"/>
      <c r="BF15" s="914"/>
      <c r="BG15" s="765">
        <v>13</v>
      </c>
    </row>
    <row customHeight="1" ht="10.5">
      <c r="BG16" s="765">
        <v>10</v>
      </c>
    </row>
    <row customHeight="1" ht="10.5">
      <c r="E17" s="914"/>
      <c r="F17" s="2414"/>
      <c r="G17" s="2414"/>
      <c r="H17" s="2414"/>
      <c r="I17" s="2414"/>
      <c r="J17" s="2414"/>
      <c r="K17" s="918"/>
      <c r="L17" s="1134"/>
      <c r="M17" s="1134"/>
      <c r="N17" s="920"/>
      <c r="O17" s="920"/>
      <c r="P17" s="920"/>
      <c r="Q17" s="920"/>
      <c r="R17" s="920"/>
      <c r="S17" s="920"/>
      <c r="T17" s="920"/>
      <c r="U17" s="920"/>
      <c r="V17" s="920"/>
      <c r="W17" s="920"/>
      <c r="X17" s="920"/>
      <c r="Y17" s="920"/>
      <c r="Z17" s="918"/>
      <c r="AA17" s="918"/>
      <c r="AB17" s="918"/>
      <c r="AC17" s="918"/>
      <c r="AD17" s="1134"/>
      <c r="AE17" s="918"/>
      <c r="AF17" s="918"/>
      <c r="AG17" s="918"/>
      <c r="AH17" s="1153"/>
      <c r="AI17" s="1146"/>
      <c r="AJ17" s="918"/>
      <c r="AK17" s="918"/>
      <c r="AL17" s="914"/>
      <c r="AM17" s="914"/>
      <c r="AN17" s="914"/>
      <c r="AO17" s="914"/>
      <c r="AP17" s="914"/>
      <c r="AQ17" s="914"/>
      <c r="AR17" s="914"/>
      <c r="AS17" s="914"/>
      <c r="AT17" s="914"/>
      <c r="AU17" s="914"/>
      <c r="AV17" s="914"/>
      <c r="AW17" s="914"/>
      <c r="AX17" s="914"/>
      <c r="AY17" s="914"/>
      <c r="AZ17" s="914"/>
      <c r="BA17" s="914"/>
      <c r="BB17" s="914"/>
      <c r="BC17" s="914"/>
      <c r="BD17" s="914"/>
      <c r="BE17" s="914"/>
      <c r="BF17" s="914"/>
      <c r="BG17" s="765">
        <v>10</v>
      </c>
    </row>
    <row customHeight="1" ht="10.5">
      <c r="E18" s="914"/>
      <c r="F18" s="2414"/>
      <c r="G18" s="2414"/>
      <c r="H18" s="2414"/>
      <c r="I18" s="2414"/>
      <c r="J18" s="2414"/>
      <c r="K18" s="918"/>
      <c r="L18" s="1134"/>
      <c r="M18" s="1134"/>
      <c r="N18" s="920"/>
      <c r="O18" s="920"/>
      <c r="P18" s="920"/>
      <c r="Q18" s="920"/>
      <c r="R18" s="920"/>
      <c r="S18" s="920"/>
      <c r="T18" s="920"/>
      <c r="U18" s="920"/>
      <c r="V18" s="920"/>
      <c r="W18" s="920"/>
      <c r="X18" s="920"/>
      <c r="Y18" s="920"/>
      <c r="Z18" s="918"/>
      <c r="AA18" s="918"/>
      <c r="AB18" s="918"/>
      <c r="AC18" s="918"/>
      <c r="AD18" s="1134"/>
      <c r="AE18" s="918"/>
      <c r="AF18" s="918"/>
      <c r="AG18" s="918"/>
      <c r="AH18" s="1153"/>
      <c r="AI18" s="1146"/>
      <c r="AJ18" s="918"/>
      <c r="AK18" s="918"/>
      <c r="AL18" s="914"/>
      <c r="AM18" s="914"/>
      <c r="AN18" s="914"/>
      <c r="AO18" s="914"/>
      <c r="AP18" s="914"/>
      <c r="AQ18" s="914"/>
      <c r="AR18" s="914"/>
      <c r="AS18" s="914"/>
      <c r="AT18" s="914"/>
      <c r="AU18" s="914"/>
      <c r="AV18" s="914"/>
      <c r="AW18" s="914"/>
      <c r="AX18" s="914"/>
      <c r="AY18" s="914"/>
      <c r="AZ18" s="914"/>
      <c r="BA18" s="914"/>
      <c r="BB18" s="914"/>
      <c r="BC18" s="914"/>
      <c r="BD18" s="914"/>
      <c r="BE18" s="914"/>
      <c r="BF18" s="914"/>
      <c r="BG18" s="765">
        <v>10</v>
      </c>
    </row>
    <row customHeight="1" ht="10.5">
      <c r="E19" s="914"/>
      <c r="F19" s="2414"/>
      <c r="G19" s="2414"/>
      <c r="H19" s="2414"/>
      <c r="I19" s="2414"/>
      <c r="J19" s="2414"/>
      <c r="K19" s="918"/>
      <c r="L19" s="1134"/>
      <c r="M19" s="1134"/>
      <c r="N19" s="920"/>
      <c r="O19" s="920"/>
      <c r="P19" s="920"/>
      <c r="Q19" s="920"/>
      <c r="R19" s="920"/>
      <c r="S19" s="920"/>
      <c r="T19" s="920"/>
      <c r="U19" s="920"/>
      <c r="V19" s="920"/>
      <c r="W19" s="920"/>
      <c r="X19" s="920"/>
      <c r="Y19" s="920"/>
      <c r="Z19" s="918"/>
      <c r="AA19" s="918"/>
      <c r="AB19" s="918"/>
      <c r="AC19" s="918"/>
      <c r="AD19" s="1134"/>
      <c r="AE19" s="918"/>
      <c r="AF19" s="918"/>
      <c r="AG19" s="918"/>
      <c r="AH19" s="1153"/>
      <c r="AI19" s="1146"/>
      <c r="AJ19" s="918"/>
      <c r="AK19" s="918"/>
      <c r="AL19" s="914"/>
      <c r="AM19" s="914"/>
      <c r="AN19" s="914"/>
      <c r="AO19" s="914"/>
      <c r="AP19" s="914"/>
      <c r="AQ19" s="914"/>
      <c r="AR19" s="914"/>
      <c r="AS19" s="914"/>
      <c r="AT19" s="914"/>
      <c r="AU19" s="914"/>
      <c r="AV19" s="914"/>
      <c r="AW19" s="914"/>
      <c r="AX19" s="914"/>
      <c r="AY19" s="914"/>
      <c r="AZ19" s="914"/>
      <c r="BA19" s="914"/>
      <c r="BB19" s="914"/>
      <c r="BC19" s="914"/>
      <c r="BD19" s="914"/>
      <c r="BE19" s="914"/>
      <c r="BF19" s="914"/>
      <c r="BG19" s="765">
        <v>10</v>
      </c>
    </row>
    <row customHeight="1" ht="10.5" hidden="1">
      <c r="A20" s="902" t="s">
        <v>82</v>
      </c>
      <c r="B20" s="902">
        <v>0</v>
      </c>
      <c r="C20" s="902">
        <v>0</v>
      </c>
      <c r="D20" s="424">
        <v>0</v>
      </c>
      <c r="E20" s="516">
        <v>3</v>
      </c>
      <c r="F20" s="765">
        <v>14</v>
      </c>
      <c r="G20" s="765">
        <v>3</v>
      </c>
      <c r="H20" s="1162">
        <v>7</v>
      </c>
      <c r="I20" s="765">
        <v>16</v>
      </c>
      <c r="J20" s="765">
        <v>16</v>
      </c>
      <c r="K20" s="765">
        <v>25</v>
      </c>
      <c r="L20" s="1132">
        <v>7</v>
      </c>
      <c r="M20" s="1132">
        <v>15</v>
      </c>
      <c r="N20" s="765">
        <v>3</v>
      </c>
      <c r="O20" s="765">
        <v>4</v>
      </c>
      <c r="P20" s="765">
        <v>8</v>
      </c>
      <c r="Q20" s="765">
        <v>21</v>
      </c>
      <c r="R20" s="765">
        <v>14</v>
      </c>
      <c r="S20" s="765">
        <v>17</v>
      </c>
      <c r="T20" s="765">
        <v>17</v>
      </c>
      <c r="U20" s="765">
        <v>9</v>
      </c>
      <c r="V20" s="765">
        <v>12</v>
      </c>
      <c r="W20" s="765">
        <v>9</v>
      </c>
      <c r="X20" s="765">
        <v>21</v>
      </c>
      <c r="Y20" s="765">
        <v>12</v>
      </c>
      <c r="Z20" s="765">
        <v>3</v>
      </c>
      <c r="AA20" s="765">
        <v>6</v>
      </c>
      <c r="AB20" s="765">
        <v>38</v>
      </c>
      <c r="AC20" s="765">
        <v>15</v>
      </c>
      <c r="AD20" s="1132">
        <v>0</v>
      </c>
      <c r="AE20" s="765">
        <v>0</v>
      </c>
      <c r="AF20" s="765">
        <v>16</v>
      </c>
      <c r="AG20" s="765">
        <v>16</v>
      </c>
      <c r="AH20" s="1151">
        <v>16</v>
      </c>
      <c r="AI20" s="1144">
        <v>0</v>
      </c>
      <c r="AJ20" s="765">
        <v>0</v>
      </c>
      <c r="AK20" s="765">
        <v>0</v>
      </c>
      <c r="AL20" s="765">
        <v>8</v>
      </c>
      <c r="AM20" s="765">
        <v>8</v>
      </c>
      <c r="AN20" s="765">
        <v>8</v>
      </c>
      <c r="AO20" s="765">
        <v>8</v>
      </c>
      <c r="AP20" s="765">
        <v>8</v>
      </c>
      <c r="AQ20" s="765">
        <v>8</v>
      </c>
      <c r="AR20" s="765">
        <v>8</v>
      </c>
      <c r="AS20" s="765">
        <v>8</v>
      </c>
      <c r="AT20" s="765">
        <v>8</v>
      </c>
      <c r="AU20" s="765">
        <v>8</v>
      </c>
      <c r="AV20" s="765">
        <v>8</v>
      </c>
      <c r="AW20" s="765">
        <v>8</v>
      </c>
      <c r="AX20" s="765">
        <v>8</v>
      </c>
      <c r="AY20" s="765">
        <v>8</v>
      </c>
      <c r="AZ20" s="765">
        <v>8</v>
      </c>
      <c r="BA20" s="765">
        <v>8</v>
      </c>
      <c r="BB20" s="765">
        <v>8</v>
      </c>
      <c r="BC20" s="765">
        <v>8</v>
      </c>
      <c r="BD20" s="765">
        <v>8</v>
      </c>
      <c r="BE20" s="765">
        <v>8</v>
      </c>
      <c r="BF20" s="765">
        <v>8</v>
      </c>
      <c r="BG20" s="765">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4C48C7-D6B6-CDDB-1175-6832D38F2FAF}"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73" width="4.140625" hidden="1" customWidth="1"/>
    <col min="4" max="4" style="1373" width="4.140625" hidden="1" customWidth="1"/>
    <col min="5" max="5" style="1642" width="3.00390625" customWidth="1"/>
    <col min="6" max="6" style="1642" width="6.00390625" customWidth="1"/>
    <col min="7" max="7" style="1642" width="60.00390625" customWidth="1"/>
    <col min="8" max="9" style="1642" width="21.7109375" hidden="1" customWidth="1"/>
    <col min="10" max="10" style="1642" width="0.140625" customWidth="1"/>
    <col min="11" max="11" style="1642" width="1.00390625" customWidth="1"/>
    <col min="12" max="22" style="1642" width="8.00390625" customWidth="1"/>
    <col min="23" max="23" style="1642" width="9.140625" hidden="1"/>
  </cols>
  <sheetData>
    <row s="1373" customFormat="1" customHeight="1" ht="10.5" hidden="1">
      <c r="A1" s="1173"/>
      <c r="B1" s="1173"/>
      <c r="C1" s="1173"/>
      <c r="E1" s="544"/>
      <c r="W1" s="1167" t="s">
        <v>14</v>
      </c>
    </row>
    <row customHeight="1" ht="10.5" hidden="1">
      <c r="W2" s="1162">
        <v>0</v>
      </c>
    </row>
    <row s="1639" customFormat="1" customHeight="1" ht="10.5" hidden="1">
      <c r="A3" s="1173"/>
      <c r="B3" s="1173"/>
      <c r="C3" s="1173"/>
      <c r="D3" s="1167"/>
      <c r="E3" s="369"/>
      <c r="W3" s="1163">
        <v>0</v>
      </c>
    </row>
    <row customHeight="1" ht="3">
      <c r="W4" s="1162">
        <v>3</v>
      </c>
    </row>
    <row customHeight="1" ht="27.299999999999997">
      <c r="F5" s="2255"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55"/>
      <c r="H5" s="2255"/>
      <c r="I5" s="2255"/>
      <c r="J5" s="2255"/>
      <c r="W5" s="1162">
        <v>26</v>
      </c>
    </row>
    <row customHeight="1" ht="10.5">
      <c r="F6" s="2183" t="str">
        <f>IF(org=0,"Не определено",org)</f>
        <v>ГУП "Белоблводоканал"</v>
      </c>
      <c r="G6" s="2183"/>
      <c r="H6" s="2183"/>
      <c r="I6" s="2183"/>
      <c r="J6" s="2183"/>
      <c r="W6" s="1162">
        <v>10</v>
      </c>
    </row>
    <row customHeight="1" ht="11.549999999999999">
      <c r="E7" s="1177"/>
      <c r="F7" s="1234"/>
      <c r="G7" s="1234"/>
      <c r="H7" s="1234"/>
      <c r="I7" s="1234"/>
      <c r="J7" s="1234"/>
      <c r="K7" s="1164"/>
      <c r="L7" s="1164"/>
      <c r="M7" s="1164"/>
      <c r="N7" s="1164"/>
      <c r="O7" s="1164"/>
      <c r="P7" s="1164"/>
      <c r="Q7" s="1164"/>
      <c r="R7" s="1164"/>
      <c r="S7" s="1164"/>
      <c r="T7" s="1164"/>
      <c r="U7" s="1164"/>
      <c r="V7" s="1164"/>
      <c r="W7" s="1162">
        <v>11</v>
      </c>
    </row>
    <row s="1649" customFormat="1" customHeight="1" ht="4.2">
      <c r="A8" s="1174"/>
      <c r="B8" s="1174"/>
      <c r="C8" s="1174"/>
      <c r="E8" s="1235"/>
      <c r="F8" s="1236"/>
      <c r="G8" s="1236"/>
      <c r="H8" s="1236"/>
      <c r="I8" s="1236"/>
      <c r="J8" s="1236"/>
      <c r="K8" s="1235"/>
      <c r="L8" s="1235"/>
      <c r="M8" s="1235"/>
      <c r="N8" s="1235"/>
      <c r="O8" s="1235"/>
      <c r="P8" s="1235"/>
      <c r="Q8" s="1235"/>
      <c r="R8" s="1235"/>
      <c r="S8" s="1235"/>
      <c r="T8" s="1235"/>
      <c r="U8" s="1235"/>
      <c r="V8" s="1235"/>
      <c r="W8" s="518">
        <v>4</v>
      </c>
    </row>
    <row customHeight="1" ht="10.5">
      <c r="E9" s="1177"/>
      <c r="F9" s="2426" t="s">
        <v>463</v>
      </c>
      <c r="G9" s="2427"/>
      <c r="H9" s="2427"/>
      <c r="I9" s="2427"/>
      <c r="J9" s="2427"/>
      <c r="K9" s="1247"/>
      <c r="L9" s="1164"/>
      <c r="M9" s="1164"/>
      <c r="N9" s="1164"/>
      <c r="O9" s="1164"/>
      <c r="P9" s="1164"/>
      <c r="Q9" s="1164"/>
      <c r="R9" s="1164"/>
      <c r="S9" s="1164"/>
      <c r="T9" s="1164"/>
      <c r="U9" s="1164"/>
      <c r="V9" s="1164"/>
      <c r="W9" s="1162">
        <v>10</v>
      </c>
    </row>
    <row customHeight="1" ht="25.2">
      <c r="E10" s="1164"/>
      <c r="F10" s="2430" t="s">
        <v>88</v>
      </c>
      <c r="G10" s="2435" t="s">
        <v>1177</v>
      </c>
      <c r="H10" s="2433" t="s">
        <v>1178</v>
      </c>
      <c r="I10" s="2433"/>
      <c r="J10" s="2433"/>
      <c r="K10" s="1240"/>
      <c r="L10" s="1164"/>
      <c r="M10" s="1164"/>
      <c r="N10" s="1164"/>
      <c r="O10" s="1164"/>
      <c r="P10" s="1164"/>
      <c r="Q10" s="1164"/>
      <c r="R10" s="1164"/>
      <c r="S10" s="1164"/>
      <c r="T10" s="1164"/>
      <c r="U10" s="1164"/>
      <c r="V10" s="1164"/>
      <c r="W10" s="1162">
        <v>24</v>
      </c>
    </row>
    <row customHeight="1" ht="25.5">
      <c r="E11" s="1164"/>
      <c r="F11" s="2431"/>
      <c r="G11" s="2435"/>
      <c r="H11" s="2434">
        <f>INDEX(IP_MAIN_LIST_NAME_IP,MATCH(H8,IP_MAIN_LIST_IP_ID,0))&amp;" ("&amp;INDEX(IP_MAIN_START_DATE,MATCH(H8,IP_MAIN_LIST_IP_ID,0))&amp;"-"&amp;INDEX(IP_MAIN_END_DATE,MATCH(H8,IP_MAIN_LIST_IP_ID,0))&amp;")"</f>
      </c>
      <c r="I11" s="2434"/>
      <c r="J11" s="2434"/>
      <c r="K11" s="1240"/>
      <c r="L11" s="1164"/>
      <c r="M11" s="1164"/>
      <c r="N11" s="1164"/>
      <c r="O11" s="1164"/>
      <c r="P11" s="1164"/>
      <c r="Q11" s="1164"/>
      <c r="R11" s="1164"/>
      <c r="S11" s="1164"/>
      <c r="T11" s="1164"/>
      <c r="U11" s="1164"/>
      <c r="V11" s="1164"/>
      <c r="W11" s="1162">
        <v>24</v>
      </c>
    </row>
    <row customHeight="1" ht="10.5">
      <c r="F12" s="2432"/>
      <c r="G12" s="2435"/>
      <c r="H12" s="1233" t="s">
        <v>1179</v>
      </c>
      <c r="I12" s="1239"/>
      <c r="J12" s="1233"/>
      <c r="K12" s="1241"/>
      <c r="W12" s="1162">
        <v>10</v>
      </c>
    </row>
    <row customHeight="1" ht="10.5" hidden="1">
      <c r="F13" s="1233">
        <v>1</v>
      </c>
      <c r="G13" s="1233">
        <v>2</v>
      </c>
      <c r="H13" s="1233">
        <v>3</v>
      </c>
      <c r="I13" s="1233">
        <v>4</v>
      </c>
      <c r="J13" s="1233">
        <v>5</v>
      </c>
      <c r="K13" s="1241"/>
      <c r="W13" s="1162">
        <v>0</v>
      </c>
    </row>
    <row customHeight="1" ht="11.549999999999999">
      <c r="F14" s="1232" t="s">
        <v>1180</v>
      </c>
      <c r="G14" s="2428" t="s">
        <v>1181</v>
      </c>
      <c r="H14" s="2428"/>
      <c r="I14" s="2428"/>
      <c r="J14" s="2428"/>
      <c r="K14" s="1241"/>
      <c r="W14" s="1162">
        <v>11</v>
      </c>
    </row>
    <row customHeight="1" ht="11.549999999999999">
      <c r="F15" s="1237">
        <v>1</v>
      </c>
      <c r="G15" s="697" t="s">
        <v>1182</v>
      </c>
      <c r="H15" s="1243">
        <f>SUM(I15:J15)</f>
        <v>0</v>
      </c>
      <c r="I15" s="1243">
        <f>SUM(I16:I27)</f>
        <v>0</v>
      </c>
      <c r="J15" s="1232"/>
      <c r="K15" s="1241"/>
      <c r="W15" s="1162">
        <v>11</v>
      </c>
    </row>
    <row customHeight="1" ht="24">
      <c r="F16" s="1237" t="s">
        <v>1183</v>
      </c>
      <c r="G16" s="1244" t="s">
        <v>1184</v>
      </c>
      <c r="H16" s="1243">
        <f>SUM(I16:J16)</f>
        <v>0</v>
      </c>
      <c r="I16" s="1242"/>
      <c r="J16" s="1232"/>
      <c r="K16" s="1241"/>
      <c r="W16" s="1162">
        <v>23</v>
      </c>
    </row>
    <row customHeight="1" ht="24">
      <c r="F17" s="1237" t="s">
        <v>1185</v>
      </c>
      <c r="G17" s="1244" t="s">
        <v>1186</v>
      </c>
      <c r="H17" s="1243">
        <f>SUM(I17:J17)</f>
        <v>0</v>
      </c>
      <c r="I17" s="1242"/>
      <c r="J17" s="1232"/>
      <c r="K17" s="1241"/>
      <c r="W17" s="1162">
        <v>23</v>
      </c>
    </row>
    <row customHeight="1" ht="35.699999999999996">
      <c r="F18" s="1237" t="s">
        <v>1187</v>
      </c>
      <c r="G18" s="1244" t="s">
        <v>1188</v>
      </c>
      <c r="H18" s="1243">
        <f>SUM(I18:J18)</f>
        <v>0</v>
      </c>
      <c r="I18" s="1242"/>
      <c r="J18" s="1232"/>
      <c r="K18" s="1241"/>
      <c r="W18" s="1162">
        <v>34</v>
      </c>
    </row>
    <row customHeight="1" ht="35.699999999999996">
      <c r="F19" s="1237" t="s">
        <v>1189</v>
      </c>
      <c r="G19" s="1244" t="s">
        <v>1190</v>
      </c>
      <c r="H19" s="1243">
        <f>SUM(I19:J19)</f>
        <v>0</v>
      </c>
      <c r="I19" s="1242"/>
      <c r="J19" s="1232"/>
      <c r="K19" s="1241"/>
      <c r="W19" s="1162">
        <v>34</v>
      </c>
    </row>
    <row customHeight="1" ht="48.29999999999999">
      <c r="F20" s="1237" t="s">
        <v>1191</v>
      </c>
      <c r="G20" s="1244" t="s">
        <v>1192</v>
      </c>
      <c r="H20" s="1243">
        <f>SUM(I20:J20)</f>
        <v>0</v>
      </c>
      <c r="I20" s="1242"/>
      <c r="J20" s="1232"/>
      <c r="K20" s="1241"/>
      <c r="W20" s="1162">
        <v>46</v>
      </c>
    </row>
    <row customHeight="1" ht="35.699999999999996">
      <c r="F21" s="1237" t="s">
        <v>1193</v>
      </c>
      <c r="G21" s="1244" t="s">
        <v>1194</v>
      </c>
      <c r="H21" s="1243">
        <f>SUM(I21:J21)</f>
        <v>0</v>
      </c>
      <c r="I21" s="1242"/>
      <c r="J21" s="1232"/>
      <c r="K21" s="1241"/>
      <c r="W21" s="1162">
        <v>34</v>
      </c>
    </row>
    <row customHeight="1" ht="35.699999999999996">
      <c r="F22" s="1237" t="s">
        <v>1195</v>
      </c>
      <c r="G22" s="1244" t="s">
        <v>1196</v>
      </c>
      <c r="H22" s="1243">
        <f>SUM(I22:J22)</f>
        <v>0</v>
      </c>
      <c r="I22" s="1242"/>
      <c r="J22" s="1232"/>
      <c r="K22" s="1241"/>
      <c r="W22" s="1162">
        <v>34</v>
      </c>
    </row>
    <row customHeight="1" ht="24">
      <c r="F23" s="1237" t="s">
        <v>1197</v>
      </c>
      <c r="G23" s="1244" t="s">
        <v>1198</v>
      </c>
      <c r="H23" s="1243">
        <f>SUM(I23:J23)</f>
        <v>0</v>
      </c>
      <c r="I23" s="1242"/>
      <c r="J23" s="1232"/>
      <c r="K23" s="1241"/>
      <c r="W23" s="1162">
        <v>23</v>
      </c>
    </row>
    <row customHeight="1" ht="24">
      <c r="F24" s="1237" t="s">
        <v>1199</v>
      </c>
      <c r="G24" s="1244" t="s">
        <v>1200</v>
      </c>
      <c r="H24" s="1243">
        <f>SUM(I24:J24)</f>
        <v>0</v>
      </c>
      <c r="I24" s="1242"/>
      <c r="J24" s="1232"/>
      <c r="K24" s="1241"/>
      <c r="W24" s="1162">
        <v>23</v>
      </c>
    </row>
    <row customHeight="1" ht="35.699999999999996">
      <c r="F25" s="1237" t="s">
        <v>1201</v>
      </c>
      <c r="G25" s="1244" t="s">
        <v>1202</v>
      </c>
      <c r="H25" s="1243">
        <f>SUM(I25:J25)</f>
        <v>0</v>
      </c>
      <c r="I25" s="1242"/>
      <c r="J25" s="1232"/>
      <c r="K25" s="1241"/>
      <c r="W25" s="1162">
        <v>34</v>
      </c>
    </row>
    <row customHeight="1" ht="35.699999999999996">
      <c r="F26" s="1237" t="s">
        <v>1203</v>
      </c>
      <c r="G26" s="1244" t="s">
        <v>1204</v>
      </c>
      <c r="H26" s="1243">
        <f>SUM(I26:J26)</f>
        <v>0</v>
      </c>
      <c r="I26" s="1242"/>
      <c r="J26" s="1232"/>
      <c r="K26" s="1241"/>
      <c r="W26" s="1162">
        <v>34</v>
      </c>
    </row>
    <row customHeight="1" ht="11.549999999999999">
      <c r="F27" s="1237" t="s">
        <v>1205</v>
      </c>
      <c r="G27" s="1244" t="s">
        <v>1206</v>
      </c>
      <c r="H27" s="1243">
        <f>SUM(I27:J27)</f>
        <v>0</v>
      </c>
      <c r="I27" s="1242"/>
      <c r="J27" s="1232"/>
      <c r="K27" s="1241"/>
      <c r="W27" s="1162">
        <v>11</v>
      </c>
    </row>
    <row customHeight="1" ht="11.549999999999999">
      <c r="F28" s="1237">
        <v>2</v>
      </c>
      <c r="G28" s="697" t="s">
        <v>1207</v>
      </c>
      <c r="H28" s="1243">
        <f>SUM(I28:J28)</f>
        <v>0</v>
      </c>
      <c r="I28" s="1243">
        <f>SUM(I29:I31)</f>
        <v>0</v>
      </c>
      <c r="J28" s="1232"/>
      <c r="K28" s="1241"/>
      <c r="W28" s="1162">
        <v>11</v>
      </c>
    </row>
    <row customHeight="1" ht="11.549999999999999">
      <c r="F29" s="1237" t="s">
        <v>870</v>
      </c>
      <c r="G29" s="1244" t="s">
        <v>1208</v>
      </c>
      <c r="H29" s="1243">
        <f>SUM(I29:J29)</f>
        <v>0</v>
      </c>
      <c r="I29" s="1242"/>
      <c r="J29" s="1232"/>
      <c r="K29" s="1241"/>
      <c r="W29" s="1162">
        <v>11</v>
      </c>
    </row>
    <row customHeight="1" ht="11.549999999999999">
      <c r="F30" s="1237" t="s">
        <v>470</v>
      </c>
      <c r="G30" s="1244" t="s">
        <v>1209</v>
      </c>
      <c r="H30" s="1243">
        <f>SUM(I30:J30)</f>
        <v>0</v>
      </c>
      <c r="I30" s="1242"/>
      <c r="J30" s="1232"/>
      <c r="K30" s="1241"/>
      <c r="W30" s="1162">
        <v>11</v>
      </c>
    </row>
    <row customHeight="1" ht="11.549999999999999">
      <c r="F31" s="1237" t="s">
        <v>473</v>
      </c>
      <c r="G31" s="1244" t="s">
        <v>1210</v>
      </c>
      <c r="H31" s="1243">
        <f>SUM(I31:J31)</f>
        <v>0</v>
      </c>
      <c r="I31" s="1242"/>
      <c r="J31" s="1232"/>
      <c r="K31" s="1241"/>
      <c r="W31" s="1162">
        <v>11</v>
      </c>
    </row>
    <row customHeight="1" ht="11.549999999999999">
      <c r="F32" s="1237">
        <v>3</v>
      </c>
      <c r="G32" s="697" t="s">
        <v>1211</v>
      </c>
      <c r="H32" s="1243">
        <f>SUM(I32:J32)</f>
        <v>0</v>
      </c>
      <c r="I32" s="1243">
        <f>SUM(I33:I34)</f>
        <v>0</v>
      </c>
      <c r="J32" s="1232"/>
      <c r="K32" s="1241"/>
      <c r="W32" s="1162">
        <v>11</v>
      </c>
    </row>
    <row customHeight="1" ht="48.29999999999999">
      <c r="F33" s="1237" t="s">
        <v>487</v>
      </c>
      <c r="G33" s="1244" t="s">
        <v>1212</v>
      </c>
      <c r="H33" s="1243">
        <f>SUM(I33:J33)</f>
        <v>0</v>
      </c>
      <c r="I33" s="1242"/>
      <c r="J33" s="1232"/>
      <c r="K33" s="1241"/>
      <c r="W33" s="1162">
        <v>46</v>
      </c>
    </row>
    <row customHeight="1" ht="11.549999999999999">
      <c r="F34" s="1237" t="s">
        <v>495</v>
      </c>
      <c r="G34" s="1244" t="s">
        <v>1213</v>
      </c>
      <c r="H34" s="1243">
        <f>SUM(I34:J34)</f>
        <v>0</v>
      </c>
      <c r="I34" s="1242"/>
      <c r="J34" s="1232"/>
      <c r="K34" s="1241"/>
      <c r="W34" s="1162">
        <v>11</v>
      </c>
    </row>
    <row customHeight="1" ht="11.549999999999999">
      <c r="F35" s="1237">
        <v>4</v>
      </c>
      <c r="G35" s="697" t="s">
        <v>1214</v>
      </c>
      <c r="H35" s="1243">
        <f>SUM(I35:J35)</f>
        <v>0</v>
      </c>
      <c r="I35" s="1242"/>
      <c r="J35" s="1232"/>
      <c r="K35" s="1241"/>
      <c r="W35" s="1162">
        <v>11</v>
      </c>
    </row>
    <row customHeight="1" ht="11.549999999999999">
      <c r="F36" s="1237"/>
      <c r="G36" s="700" t="s">
        <v>1215</v>
      </c>
      <c r="H36" s="1243">
        <f>SUM(I36:J36)</f>
        <v>0</v>
      </c>
      <c r="I36" s="1243">
        <f>SUM(I15,I28,I32,I35)</f>
        <v>0</v>
      </c>
      <c r="J36" s="1232"/>
      <c r="K36" s="1241"/>
      <c r="W36" s="1162">
        <v>11</v>
      </c>
    </row>
    <row customHeight="1" ht="29.25">
      <c r="F37" s="1238" t="s">
        <v>1216</v>
      </c>
      <c r="G37" s="2429" t="s">
        <v>1217</v>
      </c>
      <c r="H37" s="2429"/>
      <c r="I37" s="2429"/>
      <c r="J37" s="2429"/>
      <c r="K37" s="1241"/>
      <c r="W37" s="1162">
        <v>28</v>
      </c>
    </row>
    <row customHeight="1" ht="24">
      <c r="F38" s="1237" t="s">
        <v>108</v>
      </c>
      <c r="G38" s="697" t="s">
        <v>1218</v>
      </c>
      <c r="H38" s="1243">
        <f>SUM(I38:J38)</f>
        <v>0</v>
      </c>
      <c r="I38" s="1243">
        <f>SUM(I39,I44,I47)</f>
        <v>0</v>
      </c>
      <c r="J38" s="1232"/>
      <c r="K38" s="1241"/>
      <c r="W38" s="1162">
        <v>23</v>
      </c>
    </row>
    <row customHeight="1" ht="11.549999999999999">
      <c r="F39" s="1237" t="s">
        <v>1183</v>
      </c>
      <c r="G39" s="1244" t="s">
        <v>1182</v>
      </c>
      <c r="H39" s="1243">
        <f>SUM(I39:J39)</f>
        <v>0</v>
      </c>
      <c r="I39" s="1243">
        <f>SUM(I40:I43)</f>
        <v>0</v>
      </c>
      <c r="J39" s="1232"/>
      <c r="K39" s="1241"/>
      <c r="W39" s="1162">
        <v>11</v>
      </c>
    </row>
    <row customHeight="1" ht="24">
      <c r="F40" s="1237" t="s">
        <v>1219</v>
      </c>
      <c r="G40" s="1245" t="s">
        <v>1220</v>
      </c>
      <c r="H40" s="1243">
        <f>SUM(I40:J40)</f>
        <v>0</v>
      </c>
      <c r="I40" s="1242"/>
      <c r="J40" s="1232"/>
      <c r="K40" s="1241"/>
      <c r="W40" s="1162">
        <v>23</v>
      </c>
    </row>
    <row customHeight="1" ht="11.549999999999999">
      <c r="F41" s="1237" t="s">
        <v>1221</v>
      </c>
      <c r="G41" s="1245" t="s">
        <v>1222</v>
      </c>
      <c r="H41" s="1243">
        <f>SUM(I41:J41)</f>
        <v>0</v>
      </c>
      <c r="I41" s="1242"/>
      <c r="J41" s="1232"/>
      <c r="K41" s="1241"/>
      <c r="W41" s="1162">
        <v>11</v>
      </c>
    </row>
    <row customHeight="1" ht="11.549999999999999">
      <c r="F42" s="1237" t="s">
        <v>1223</v>
      </c>
      <c r="G42" s="1245" t="s">
        <v>1224</v>
      </c>
      <c r="H42" s="1243">
        <f>SUM(I42:J42)</f>
        <v>0</v>
      </c>
      <c r="I42" s="1242"/>
      <c r="J42" s="1232"/>
      <c r="K42" s="1241"/>
      <c r="W42" s="1162">
        <v>11</v>
      </c>
    </row>
    <row customHeight="1" ht="35.699999999999996">
      <c r="F43" s="1237" t="s">
        <v>1225</v>
      </c>
      <c r="G43" s="1245" t="s">
        <v>1226</v>
      </c>
      <c r="H43" s="1243">
        <f>SUM(I43:J43)</f>
        <v>0</v>
      </c>
      <c r="I43" s="1242"/>
      <c r="J43" s="1232"/>
      <c r="K43" s="1241"/>
      <c r="W43" s="1162">
        <v>34</v>
      </c>
    </row>
    <row customHeight="1" ht="11.549999999999999">
      <c r="F44" s="1237" t="s">
        <v>1185</v>
      </c>
      <c r="G44" s="1244" t="s">
        <v>1211</v>
      </c>
      <c r="H44" s="1243">
        <f>SUM(I44:J44)</f>
        <v>0</v>
      </c>
      <c r="I44" s="1243">
        <f>SUM(I45:I46)</f>
        <v>0</v>
      </c>
      <c r="J44" s="1232"/>
      <c r="K44" s="1241"/>
      <c r="W44" s="1162">
        <v>11</v>
      </c>
    </row>
    <row customHeight="1" ht="48.29999999999999">
      <c r="F45" s="1237" t="s">
        <v>1227</v>
      </c>
      <c r="G45" s="1245" t="s">
        <v>1212</v>
      </c>
      <c r="H45" s="1243">
        <f>SUM(I45:J45)</f>
        <v>0</v>
      </c>
      <c r="I45" s="1242"/>
      <c r="J45" s="1232"/>
      <c r="K45" s="1241"/>
      <c r="W45" s="1162">
        <v>46</v>
      </c>
    </row>
    <row customHeight="1" ht="11.549999999999999">
      <c r="F46" s="1237" t="s">
        <v>1228</v>
      </c>
      <c r="G46" s="1245" t="s">
        <v>1213</v>
      </c>
      <c r="H46" s="1243">
        <f>SUM(I46:J46)</f>
        <v>0</v>
      </c>
      <c r="I46" s="1242"/>
      <c r="J46" s="1232"/>
      <c r="K46" s="1241"/>
      <c r="W46" s="1162">
        <v>11</v>
      </c>
    </row>
    <row customHeight="1" ht="11.549999999999999">
      <c r="F47" s="1237" t="s">
        <v>1187</v>
      </c>
      <c r="G47" s="1244" t="s">
        <v>1229</v>
      </c>
      <c r="H47" s="1243">
        <f>SUM(I47:J47)</f>
        <v>0</v>
      </c>
      <c r="I47" s="1242"/>
      <c r="J47" s="1232"/>
      <c r="K47" s="1241"/>
      <c r="W47" s="1162">
        <v>11</v>
      </c>
    </row>
    <row customHeight="1" ht="24">
      <c r="F48" s="1237" t="s">
        <v>99</v>
      </c>
      <c r="G48" s="697" t="s">
        <v>1230</v>
      </c>
      <c r="H48" s="1243">
        <f>SUM(I48:J48)</f>
        <v>0</v>
      </c>
      <c r="I48" s="1243">
        <f>SUM(I49,I54,I57)</f>
        <v>0</v>
      </c>
      <c r="J48" s="1232"/>
      <c r="K48" s="1241"/>
      <c r="W48" s="1162">
        <v>23</v>
      </c>
    </row>
    <row customHeight="1" ht="11.549999999999999">
      <c r="F49" s="1237" t="s">
        <v>870</v>
      </c>
      <c r="G49" s="1244" t="s">
        <v>1182</v>
      </c>
      <c r="H49" s="1243">
        <f>SUM(I49:J49)</f>
        <v>0</v>
      </c>
      <c r="I49" s="1243">
        <f>SUM(I50:I53)</f>
        <v>0</v>
      </c>
      <c r="J49" s="1232"/>
      <c r="K49" s="1241"/>
      <c r="W49" s="1162">
        <v>11</v>
      </c>
    </row>
    <row customHeight="1" ht="24">
      <c r="F50" s="1237" t="s">
        <v>873</v>
      </c>
      <c r="G50" s="1245" t="s">
        <v>1220</v>
      </c>
      <c r="H50" s="1243">
        <f>SUM(I50:J50)</f>
        <v>0</v>
      </c>
      <c r="I50" s="1242"/>
      <c r="J50" s="1232"/>
      <c r="K50" s="1241"/>
      <c r="W50" s="1162">
        <v>23</v>
      </c>
    </row>
    <row customHeight="1" ht="11.549999999999999">
      <c r="F51" s="1237" t="s">
        <v>876</v>
      </c>
      <c r="G51" s="1245" t="s">
        <v>1222</v>
      </c>
      <c r="H51" s="1243">
        <f>SUM(I51:J51)</f>
        <v>0</v>
      </c>
      <c r="I51" s="1242"/>
      <c r="J51" s="1232"/>
      <c r="K51" s="1241"/>
      <c r="W51" s="1162">
        <v>11</v>
      </c>
    </row>
    <row customHeight="1" ht="11.549999999999999">
      <c r="F52" s="1237" t="s">
        <v>1231</v>
      </c>
      <c r="G52" s="1245" t="s">
        <v>1224</v>
      </c>
      <c r="H52" s="1243">
        <f>SUM(I52:J52)</f>
        <v>0</v>
      </c>
      <c r="I52" s="1242"/>
      <c r="J52" s="1232"/>
      <c r="K52" s="1241"/>
      <c r="W52" s="1162">
        <v>11</v>
      </c>
    </row>
    <row customHeight="1" ht="35.699999999999996">
      <c r="F53" s="1237" t="s">
        <v>1232</v>
      </c>
      <c r="G53" s="1245" t="s">
        <v>1226</v>
      </c>
      <c r="H53" s="1243">
        <f>SUM(I53:J53)</f>
        <v>0</v>
      </c>
      <c r="I53" s="1242"/>
      <c r="J53" s="1232"/>
      <c r="K53" s="1241"/>
      <c r="W53" s="1162">
        <v>34</v>
      </c>
    </row>
    <row customHeight="1" ht="11.549999999999999">
      <c r="F54" s="1237" t="s">
        <v>470</v>
      </c>
      <c r="G54" s="1244" t="s">
        <v>1211</v>
      </c>
      <c r="H54" s="1243">
        <f>SUM(I54:J54)</f>
        <v>0</v>
      </c>
      <c r="I54" s="1243">
        <f>SUM(I55:I56)</f>
        <v>0</v>
      </c>
      <c r="J54" s="1232"/>
      <c r="K54" s="1241"/>
      <c r="W54" s="1162">
        <v>11</v>
      </c>
    </row>
    <row customHeight="1" ht="48.29999999999999">
      <c r="F55" s="1237" t="s">
        <v>880</v>
      </c>
      <c r="G55" s="1245" t="s">
        <v>1212</v>
      </c>
      <c r="H55" s="1243">
        <f>SUM(I55:J55)</f>
        <v>0</v>
      </c>
      <c r="I55" s="1242"/>
      <c r="J55" s="1232"/>
      <c r="K55" s="1241"/>
      <c r="W55" s="1162">
        <v>46</v>
      </c>
    </row>
    <row customHeight="1" ht="11.549999999999999">
      <c r="F56" s="1237" t="s">
        <v>882</v>
      </c>
      <c r="G56" s="1245" t="s">
        <v>1213</v>
      </c>
      <c r="H56" s="1243">
        <f>SUM(I56:J56)</f>
        <v>0</v>
      </c>
      <c r="I56" s="1242"/>
      <c r="J56" s="1232"/>
      <c r="K56" s="1241"/>
      <c r="W56" s="1162">
        <v>11</v>
      </c>
    </row>
    <row customHeight="1" ht="11.549999999999999">
      <c r="F57" s="1237" t="s">
        <v>473</v>
      </c>
      <c r="G57" s="1244" t="s">
        <v>1229</v>
      </c>
      <c r="H57" s="1243">
        <f>SUM(I57:J57)</f>
        <v>0</v>
      </c>
      <c r="I57" s="1242"/>
      <c r="J57" s="1232"/>
      <c r="K57" s="1241"/>
      <c r="W57" s="1162">
        <v>11</v>
      </c>
    </row>
    <row customHeight="1" ht="11.549999999999999">
      <c r="F58" s="1237"/>
      <c r="G58" s="1246" t="s">
        <v>1215</v>
      </c>
      <c r="H58" s="1243">
        <f>SUM(I58:J58)</f>
        <v>0</v>
      </c>
      <c r="I58" s="1243">
        <f>SUM(I38,I48)</f>
        <v>0</v>
      </c>
      <c r="J58" s="1232"/>
      <c r="K58" s="1241"/>
      <c r="W58" s="1162">
        <v>11</v>
      </c>
    </row>
    <row customHeight="1" ht="10.5" hidden="1">
      <c r="A59" s="1173" t="s">
        <v>82</v>
      </c>
      <c r="B59" s="1173">
        <v>0</v>
      </c>
      <c r="C59" s="1173">
        <v>0</v>
      </c>
      <c r="D59" s="1167">
        <v>0</v>
      </c>
      <c r="E59" s="516">
        <v>3</v>
      </c>
      <c r="F59" s="1162">
        <v>6</v>
      </c>
      <c r="G59" s="1162">
        <v>60</v>
      </c>
      <c r="H59" s="1162">
        <v>0</v>
      </c>
      <c r="I59" s="1162">
        <v>0</v>
      </c>
      <c r="J59" s="1162">
        <v>0</v>
      </c>
      <c r="K59" s="1162">
        <v>1</v>
      </c>
      <c r="L59" s="1162">
        <v>8</v>
      </c>
      <c r="M59" s="1162">
        <v>8</v>
      </c>
      <c r="N59" s="1162">
        <v>8</v>
      </c>
      <c r="O59" s="1162">
        <v>8</v>
      </c>
      <c r="P59" s="1162">
        <v>8</v>
      </c>
      <c r="Q59" s="1162">
        <v>8</v>
      </c>
      <c r="R59" s="1162">
        <v>8</v>
      </c>
      <c r="S59" s="1162">
        <v>8</v>
      </c>
      <c r="T59" s="1162">
        <v>8</v>
      </c>
      <c r="U59" s="1162">
        <v>8</v>
      </c>
      <c r="V59" s="1162">
        <v>8</v>
      </c>
      <c r="W59" s="1162">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A8775D-ACA8-1B1F-6039-DC4EE7C5AE0E}"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70" width="4.7109375" hidden="1" customWidth="1"/>
    <col min="2" max="2" style="943" width="4.7109375" hidden="1" customWidth="1"/>
    <col min="3" max="4" style="1070" width="4.7109375" hidden="1" customWidth="1"/>
    <col min="5" max="5" style="1070" width="3.00390625" customWidth="1"/>
    <col min="6" max="6" style="1070" width="6.00390625" customWidth="1"/>
    <col min="7" max="7" style="1070" width="18.00390625" customWidth="1"/>
    <col min="8" max="8" style="1070" width="27.00390625" customWidth="1"/>
    <col min="9" max="9" style="1070" width="18.00390625" customWidth="1"/>
    <col min="10" max="14" style="1070" width="0.8515625" hidden="1" customWidth="1"/>
    <col min="15" max="28" style="1070" width="21.7109375" hidden="1" customWidth="1"/>
    <col min="29" max="71" style="1070" width="0.8515625" hidden="1" customWidth="1"/>
    <col min="72" max="79" style="1070" width="21.7109375" customWidth="1"/>
    <col min="80" max="81" style="1070" width="29.140625" customWidth="1"/>
    <col min="82" max="89" style="1070" width="21.7109375" customWidth="1"/>
    <col min="90" max="102" style="1070" width="0.7109375" customWidth="1"/>
    <col min="103" max="114" style="1070" width="21.7109375" hidden="1" customWidth="1"/>
    <col min="115" max="178" style="1070" width="0.7109375" hidden="1" customWidth="1"/>
    <col min="179" max="179" style="1070" width="0.140625" customWidth="1"/>
    <col min="180" max="184" style="1070" width="8.00390625" customWidth="1"/>
    <col min="185" max="185" style="1070" width="9.140625" hidden="1"/>
  </cols>
  <sheetData>
    <row s="932" customFormat="1" customHeight="1" ht="12" hidden="1">
      <c r="B1" s="930"/>
      <c r="C1" s="931"/>
      <c r="D1" s="931"/>
      <c r="GC1" s="929" t="s">
        <v>14</v>
      </c>
    </row>
    <row s="932" customFormat="1" customHeight="1" ht="12" hidden="1">
      <c r="B2" s="930"/>
      <c r="C2" s="931"/>
      <c r="D2" s="931"/>
      <c r="E2" s="931"/>
      <c r="F2" s="931"/>
      <c r="G2" s="931"/>
      <c r="H2" s="931"/>
      <c r="I2" s="931"/>
      <c r="J2" s="931"/>
      <c r="K2" s="931"/>
      <c r="L2" s="931"/>
      <c r="M2" s="931"/>
      <c r="N2" s="931"/>
      <c r="O2" s="931"/>
      <c r="P2" s="931"/>
      <c r="Q2" s="931"/>
      <c r="R2" s="931"/>
      <c r="S2" s="931"/>
      <c r="T2" s="931"/>
      <c r="U2" s="931"/>
      <c r="V2" s="931"/>
      <c r="W2" s="931"/>
      <c r="X2" s="931"/>
      <c r="Y2" s="931"/>
      <c r="Z2" s="931"/>
      <c r="AA2" s="931"/>
      <c r="AB2" s="932"/>
      <c r="AC2" s="931"/>
      <c r="AD2" s="931"/>
      <c r="AE2" s="931"/>
      <c r="AF2" s="931"/>
      <c r="AG2" s="931"/>
      <c r="AH2" s="931"/>
      <c r="AI2" s="931"/>
      <c r="AJ2" s="931"/>
      <c r="AK2" s="931"/>
      <c r="AL2" s="931"/>
      <c r="AM2" s="931"/>
      <c r="AN2" s="931"/>
      <c r="AO2" s="931"/>
      <c r="AP2" s="931"/>
      <c r="AQ2" s="931"/>
      <c r="AR2" s="931"/>
      <c r="AS2" s="931"/>
      <c r="AT2" s="931"/>
      <c r="AU2" s="931"/>
      <c r="AV2" s="931"/>
      <c r="AW2" s="931"/>
      <c r="AX2" s="931"/>
      <c r="AY2" s="931"/>
      <c r="AZ2" s="931"/>
      <c r="BA2" s="931"/>
      <c r="BB2" s="931"/>
      <c r="BC2" s="931"/>
      <c r="BD2" s="931"/>
      <c r="BE2" s="931"/>
      <c r="BF2" s="931"/>
      <c r="BG2" s="931"/>
      <c r="BH2" s="931"/>
      <c r="BI2" s="931"/>
      <c r="BJ2" s="931"/>
      <c r="BK2" s="931"/>
      <c r="BL2" s="931"/>
      <c r="BM2" s="931"/>
      <c r="BN2" s="931"/>
      <c r="BO2" s="931"/>
      <c r="BP2" s="931"/>
      <c r="BQ2" s="931"/>
      <c r="BR2" s="931"/>
      <c r="BS2" s="931"/>
      <c r="BT2" s="931"/>
      <c r="BU2" s="931"/>
      <c r="BV2" s="931"/>
      <c r="BW2" s="931"/>
      <c r="BX2" s="931"/>
      <c r="BY2" s="931"/>
      <c r="BZ2" s="931"/>
      <c r="CA2" s="931"/>
      <c r="CB2" s="931"/>
      <c r="CC2" s="931"/>
      <c r="CD2" s="931"/>
      <c r="CE2" s="931"/>
      <c r="CF2" s="931"/>
      <c r="CG2" s="931"/>
      <c r="CH2" s="931"/>
      <c r="CI2" s="931"/>
      <c r="CJ2" s="931"/>
      <c r="CK2" s="931"/>
      <c r="CL2" s="931"/>
      <c r="CM2" s="931"/>
      <c r="CN2" s="931"/>
      <c r="CO2" s="931"/>
      <c r="CP2" s="931"/>
      <c r="CQ2" s="931"/>
      <c r="CR2" s="931"/>
      <c r="CS2" s="931"/>
      <c r="CT2" s="931"/>
      <c r="CU2" s="931"/>
      <c r="CV2" s="931"/>
      <c r="CW2" s="931"/>
      <c r="CX2" s="931"/>
      <c r="CY2" s="931"/>
      <c r="CZ2" s="931"/>
      <c r="DA2" s="931"/>
      <c r="DB2" s="931"/>
      <c r="DC2" s="931"/>
      <c r="DD2" s="931"/>
      <c r="DE2" s="931"/>
      <c r="DF2" s="931"/>
      <c r="DG2" s="931"/>
      <c r="DH2" s="931"/>
      <c r="DI2" s="931"/>
      <c r="DJ2" s="931"/>
      <c r="DK2" s="931"/>
      <c r="DL2" s="931"/>
      <c r="DM2" s="931"/>
      <c r="DN2" s="931"/>
      <c r="DO2" s="931"/>
      <c r="DP2" s="931"/>
      <c r="DQ2" s="931"/>
      <c r="DR2" s="931"/>
      <c r="DS2" s="931"/>
      <c r="DT2" s="931"/>
      <c r="DU2" s="931"/>
      <c r="DV2" s="931"/>
      <c r="DW2" s="931"/>
      <c r="DX2" s="931"/>
      <c r="DY2" s="931"/>
      <c r="DZ2" s="931"/>
      <c r="EA2" s="931"/>
      <c r="EB2" s="931"/>
      <c r="EC2" s="931"/>
      <c r="ED2" s="931"/>
      <c r="EE2" s="931"/>
      <c r="EF2" s="931"/>
      <c r="EG2" s="931"/>
      <c r="EH2" s="931"/>
      <c r="EI2" s="931"/>
      <c r="EJ2" s="931"/>
      <c r="EK2" s="931"/>
      <c r="EL2" s="931"/>
      <c r="EM2" s="931"/>
      <c r="EN2" s="931"/>
      <c r="EO2" s="931"/>
      <c r="EP2" s="931"/>
      <c r="EQ2" s="931"/>
      <c r="ER2" s="931"/>
      <c r="ES2" s="931"/>
      <c r="ET2" s="931"/>
      <c r="EU2" s="931"/>
      <c r="EV2" s="931"/>
      <c r="EW2" s="931"/>
      <c r="EX2" s="931"/>
      <c r="EY2" s="931"/>
      <c r="EZ2" s="931"/>
      <c r="FA2" s="931"/>
      <c r="FB2" s="931"/>
      <c r="FC2" s="931"/>
      <c r="FD2" s="931"/>
      <c r="FE2" s="931"/>
      <c r="FF2" s="931"/>
      <c r="FG2" s="931"/>
      <c r="FH2" s="931"/>
      <c r="FI2" s="931"/>
      <c r="FJ2" s="931"/>
      <c r="FK2" s="931"/>
      <c r="FL2" s="931"/>
      <c r="FM2" s="931"/>
      <c r="FN2" s="931"/>
      <c r="FO2" s="931"/>
      <c r="FP2" s="931"/>
      <c r="FQ2" s="931"/>
      <c r="FR2" s="931"/>
      <c r="FS2" s="931"/>
      <c r="FT2" s="931"/>
      <c r="FU2" s="931"/>
      <c r="FV2" s="931"/>
      <c r="FW2" s="931"/>
      <c r="GC2" s="929">
        <v>0</v>
      </c>
    </row>
    <row s="932" customFormat="1" customHeight="1" ht="12" hidden="1">
      <c r="B3" s="930"/>
      <c r="C3" s="931"/>
      <c r="D3" s="931"/>
      <c r="E3" s="931"/>
      <c r="F3" s="931"/>
      <c r="G3" s="931"/>
      <c r="H3" s="931"/>
      <c r="I3" s="931"/>
      <c r="J3" s="931"/>
      <c r="K3" s="931"/>
      <c r="L3" s="931"/>
      <c r="M3" s="931"/>
      <c r="N3" s="931"/>
      <c r="O3" s="931"/>
      <c r="P3" s="931"/>
      <c r="Q3" s="931"/>
      <c r="R3" s="931"/>
      <c r="S3" s="931"/>
      <c r="T3" s="931"/>
      <c r="U3" s="931"/>
      <c r="V3" s="931"/>
      <c r="W3" s="931"/>
      <c r="X3" s="931"/>
      <c r="Y3" s="931"/>
      <c r="Z3" s="931"/>
      <c r="AA3" s="931"/>
      <c r="AB3" s="932"/>
      <c r="AC3" s="931"/>
      <c r="AD3" s="931"/>
      <c r="AE3" s="931"/>
      <c r="AF3" s="931"/>
      <c r="AG3" s="931"/>
      <c r="AH3" s="931"/>
      <c r="AI3" s="931"/>
      <c r="AJ3" s="931"/>
      <c r="AK3" s="931"/>
      <c r="AL3" s="931"/>
      <c r="AM3" s="931"/>
      <c r="AN3" s="931"/>
      <c r="AO3" s="931"/>
      <c r="AP3" s="931"/>
      <c r="AQ3" s="931"/>
      <c r="AR3" s="931"/>
      <c r="AS3" s="931"/>
      <c r="AT3" s="931"/>
      <c r="AU3" s="931"/>
      <c r="AV3" s="931"/>
      <c r="AW3" s="931"/>
      <c r="AX3" s="931"/>
      <c r="AY3" s="931"/>
      <c r="AZ3" s="931"/>
      <c r="BA3" s="931"/>
      <c r="BB3" s="931"/>
      <c r="BC3" s="931"/>
      <c r="BD3" s="931"/>
      <c r="BE3" s="931"/>
      <c r="BF3" s="931"/>
      <c r="BG3" s="931"/>
      <c r="BH3" s="931"/>
      <c r="BI3" s="931"/>
      <c r="BJ3" s="931"/>
      <c r="BK3" s="931"/>
      <c r="BL3" s="931"/>
      <c r="BM3" s="931"/>
      <c r="BN3" s="931"/>
      <c r="BO3" s="931"/>
      <c r="BP3" s="931"/>
      <c r="BQ3" s="931"/>
      <c r="BR3" s="931"/>
      <c r="BS3" s="931"/>
      <c r="BT3" s="931"/>
      <c r="BU3" s="931"/>
      <c r="BV3" s="931"/>
      <c r="BW3" s="931"/>
      <c r="BX3" s="931"/>
      <c r="BY3" s="931"/>
      <c r="BZ3" s="931"/>
      <c r="CA3" s="931"/>
      <c r="CB3" s="931"/>
      <c r="CC3" s="931"/>
      <c r="CD3" s="931"/>
      <c r="CE3" s="931"/>
      <c r="CF3" s="931"/>
      <c r="CG3" s="931"/>
      <c r="CH3" s="931"/>
      <c r="CI3" s="931"/>
      <c r="CJ3" s="931"/>
      <c r="CK3" s="931"/>
      <c r="CL3" s="931"/>
      <c r="CM3" s="931"/>
      <c r="CN3" s="931"/>
      <c r="CO3" s="931"/>
      <c r="CP3" s="931"/>
      <c r="CQ3" s="931"/>
      <c r="CR3" s="931"/>
      <c r="CS3" s="931"/>
      <c r="CT3" s="931"/>
      <c r="CU3" s="931"/>
      <c r="CV3" s="931"/>
      <c r="CW3" s="931"/>
      <c r="CX3" s="931"/>
      <c r="CY3" s="931"/>
      <c r="CZ3" s="931"/>
      <c r="DA3" s="931"/>
      <c r="DB3" s="931"/>
      <c r="DC3" s="931"/>
      <c r="DD3" s="931"/>
      <c r="DE3" s="931"/>
      <c r="DF3" s="931"/>
      <c r="DG3" s="931"/>
      <c r="DH3" s="931"/>
      <c r="DI3" s="931"/>
      <c r="DJ3" s="931"/>
      <c r="DK3" s="931"/>
      <c r="DL3" s="931"/>
      <c r="DM3" s="931"/>
      <c r="DN3" s="931"/>
      <c r="DO3" s="931"/>
      <c r="DP3" s="931"/>
      <c r="DQ3" s="931"/>
      <c r="DR3" s="931"/>
      <c r="DS3" s="931"/>
      <c r="DT3" s="931"/>
      <c r="DU3" s="931"/>
      <c r="DV3" s="931"/>
      <c r="DW3" s="931"/>
      <c r="DX3" s="931"/>
      <c r="DY3" s="931"/>
      <c r="DZ3" s="931"/>
      <c r="EA3" s="931"/>
      <c r="EB3" s="931"/>
      <c r="EC3" s="931"/>
      <c r="ED3" s="931"/>
      <c r="EE3" s="931"/>
      <c r="EF3" s="931"/>
      <c r="EG3" s="931"/>
      <c r="EH3" s="931"/>
      <c r="EI3" s="931"/>
      <c r="EJ3" s="931"/>
      <c r="EK3" s="931"/>
      <c r="EL3" s="931"/>
      <c r="EM3" s="931"/>
      <c r="EN3" s="931"/>
      <c r="EO3" s="931"/>
      <c r="EP3" s="931"/>
      <c r="EQ3" s="931"/>
      <c r="ER3" s="931"/>
      <c r="ES3" s="931"/>
      <c r="ET3" s="931"/>
      <c r="EU3" s="931"/>
      <c r="EV3" s="931"/>
      <c r="EW3" s="931"/>
      <c r="EX3" s="931"/>
      <c r="EY3" s="931"/>
      <c r="EZ3" s="931"/>
      <c r="FA3" s="931"/>
      <c r="FB3" s="931"/>
      <c r="FC3" s="931"/>
      <c r="FD3" s="931"/>
      <c r="FE3" s="931"/>
      <c r="FF3" s="931"/>
      <c r="FG3" s="931"/>
      <c r="FH3" s="931"/>
      <c r="FI3" s="931"/>
      <c r="FJ3" s="931"/>
      <c r="FK3" s="931"/>
      <c r="FL3" s="931"/>
      <c r="FM3" s="931"/>
      <c r="FN3" s="931"/>
      <c r="FO3" s="931"/>
      <c r="FP3" s="931"/>
      <c r="FQ3" s="931"/>
      <c r="FR3" s="931"/>
      <c r="FS3" s="931"/>
      <c r="FT3" s="931"/>
      <c r="FU3" s="931"/>
      <c r="FV3" s="931"/>
      <c r="FW3" s="931"/>
      <c r="GC3" s="929">
        <v>0</v>
      </c>
    </row>
    <row customHeight="1" ht="10.5">
      <c r="B4" s="934"/>
      <c r="C4" s="935"/>
      <c r="D4" s="935"/>
      <c r="E4" s="935"/>
      <c r="F4" s="935"/>
      <c r="G4" s="935"/>
      <c r="H4" s="936"/>
      <c r="I4" s="936"/>
      <c r="J4" s="936"/>
      <c r="K4" s="936"/>
      <c r="L4" s="936"/>
      <c r="M4" s="937"/>
      <c r="N4" s="937"/>
      <c r="O4" s="937"/>
      <c r="P4" s="937"/>
      <c r="Q4" s="937"/>
      <c r="R4" s="937"/>
      <c r="S4" s="937"/>
      <c r="T4" s="937"/>
      <c r="U4" s="937"/>
      <c r="V4" s="937"/>
      <c r="W4" s="937"/>
      <c r="X4" s="937"/>
      <c r="Y4" s="937"/>
      <c r="Z4" s="937"/>
      <c r="AA4" s="937"/>
      <c r="AB4" s="937"/>
      <c r="AC4" s="937"/>
      <c r="AD4" s="937"/>
      <c r="AE4" s="937"/>
      <c r="AF4" s="937"/>
      <c r="AG4" s="937"/>
      <c r="AH4" s="937"/>
      <c r="AI4" s="937"/>
      <c r="AJ4" s="937"/>
      <c r="AK4" s="937"/>
      <c r="AL4" s="937"/>
      <c r="AM4" s="937"/>
      <c r="AN4" s="937"/>
      <c r="AO4" s="937"/>
      <c r="AP4" s="937"/>
      <c r="AQ4" s="937"/>
      <c r="AR4" s="937"/>
      <c r="AS4" s="937"/>
      <c r="AT4" s="937"/>
      <c r="AU4" s="937"/>
      <c r="AV4" s="937"/>
      <c r="AW4" s="937"/>
      <c r="AX4" s="937"/>
      <c r="AY4" s="937"/>
      <c r="AZ4" s="937"/>
      <c r="BA4" s="937"/>
      <c r="BB4" s="937"/>
      <c r="BC4" s="937"/>
      <c r="BD4" s="937"/>
      <c r="BE4" s="937"/>
      <c r="BF4" s="937"/>
      <c r="BG4" s="937"/>
      <c r="BH4" s="937"/>
      <c r="BI4" s="937"/>
      <c r="BJ4" s="937"/>
      <c r="BK4" s="937"/>
      <c r="BL4" s="937"/>
      <c r="BM4" s="937"/>
      <c r="BN4" s="937"/>
      <c r="BO4" s="937"/>
      <c r="BP4" s="937"/>
      <c r="BQ4" s="937"/>
      <c r="BR4" s="937"/>
      <c r="BS4" s="937"/>
      <c r="BT4" s="937"/>
      <c r="BU4" s="937"/>
      <c r="BV4" s="937"/>
      <c r="BW4" s="937"/>
      <c r="BX4" s="937"/>
      <c r="BY4" s="937"/>
      <c r="BZ4" s="937"/>
      <c r="CA4" s="937"/>
      <c r="CB4" s="937"/>
      <c r="CC4" s="937"/>
      <c r="CD4" s="937"/>
      <c r="CE4" s="937"/>
      <c r="CF4" s="937"/>
      <c r="CG4" s="937"/>
      <c r="CH4" s="937"/>
      <c r="CI4" s="937"/>
      <c r="CJ4" s="937"/>
      <c r="CK4" s="937"/>
      <c r="CL4" s="937"/>
      <c r="CM4" s="937"/>
      <c r="CN4" s="937"/>
      <c r="CO4" s="937"/>
      <c r="CP4" s="937"/>
      <c r="CQ4" s="937"/>
      <c r="CR4" s="937"/>
      <c r="CS4" s="937"/>
      <c r="CT4" s="937"/>
      <c r="CU4" s="937"/>
      <c r="CV4" s="937"/>
      <c r="CW4" s="937"/>
      <c r="CX4" s="937"/>
      <c r="CY4" s="937"/>
      <c r="CZ4" s="937"/>
      <c r="DA4" s="937"/>
      <c r="DB4" s="937"/>
      <c r="DC4" s="937"/>
      <c r="DD4" s="937"/>
      <c r="DE4" s="937"/>
      <c r="DF4" s="937"/>
      <c r="DG4" s="937"/>
      <c r="DH4" s="937"/>
      <c r="DI4" s="937"/>
      <c r="DJ4" s="937"/>
      <c r="DK4" s="937"/>
      <c r="DL4" s="937"/>
      <c r="DM4" s="937"/>
      <c r="DN4" s="937"/>
      <c r="DO4" s="937"/>
      <c r="DP4" s="937"/>
      <c r="DQ4" s="937"/>
      <c r="DR4" s="937"/>
      <c r="DS4" s="937"/>
      <c r="DT4" s="937"/>
      <c r="DU4" s="937"/>
      <c r="DV4" s="937"/>
      <c r="DW4" s="937"/>
      <c r="DX4" s="937"/>
      <c r="DY4" s="937"/>
      <c r="DZ4" s="937"/>
      <c r="EA4" s="937"/>
      <c r="EB4" s="937"/>
      <c r="EC4" s="937"/>
      <c r="ED4" s="937"/>
      <c r="EE4" s="937"/>
      <c r="EF4" s="937"/>
      <c r="EG4" s="937"/>
      <c r="EH4" s="937"/>
      <c r="EI4" s="937"/>
      <c r="EJ4" s="937"/>
      <c r="EK4" s="937"/>
      <c r="EL4" s="937"/>
      <c r="EM4" s="937"/>
      <c r="EN4" s="937"/>
      <c r="EO4" s="937"/>
      <c r="EP4" s="937"/>
      <c r="EQ4" s="937"/>
      <c r="ER4" s="937"/>
      <c r="ES4" s="937"/>
      <c r="ET4" s="937"/>
      <c r="EU4" s="937"/>
      <c r="EV4" s="937"/>
      <c r="EW4" s="937"/>
      <c r="EX4" s="937"/>
      <c r="EY4" s="937"/>
      <c r="EZ4" s="937"/>
      <c r="FA4" s="937"/>
      <c r="FB4" s="937"/>
      <c r="FC4" s="937"/>
      <c r="FD4" s="937"/>
      <c r="FE4" s="937"/>
      <c r="FF4" s="937"/>
      <c r="FG4" s="937"/>
      <c r="FH4" s="937"/>
      <c r="FI4" s="937"/>
      <c r="FJ4" s="937"/>
      <c r="FK4" s="937"/>
      <c r="FL4" s="937"/>
      <c r="FM4" s="937"/>
      <c r="FN4" s="937"/>
      <c r="FO4" s="937"/>
      <c r="FP4" s="937"/>
      <c r="FQ4" s="937"/>
      <c r="FR4" s="937"/>
      <c r="FS4" s="937"/>
      <c r="FT4" s="937"/>
      <c r="FU4" s="937"/>
      <c r="FV4" s="937"/>
      <c r="FW4" s="937"/>
      <c r="GC4" s="933">
        <v>10</v>
      </c>
    </row>
    <row s="1880" customFormat="1" customHeight="1" ht="27.299999999999997">
      <c r="B5" s="1879"/>
      <c r="E5" s="1881"/>
      <c r="F5" s="2439"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6"/>
      <c r="H5" s="2176"/>
      <c r="I5" s="2176"/>
      <c r="J5" s="2176"/>
      <c r="K5" s="2176"/>
      <c r="L5" s="2176"/>
      <c r="M5" s="2176"/>
      <c r="N5" s="2176"/>
      <c r="O5" s="2176"/>
      <c r="P5" s="2176"/>
      <c r="Q5" s="2176"/>
      <c r="R5" s="2176"/>
      <c r="S5" s="2176"/>
      <c r="T5" s="2176"/>
      <c r="U5" s="2176"/>
      <c r="V5" s="2176"/>
      <c r="W5" s="2176"/>
      <c r="X5" s="2176"/>
      <c r="Y5" s="2176"/>
      <c r="Z5" s="2176"/>
      <c r="AA5" s="2176"/>
      <c r="AB5" s="2176"/>
      <c r="AC5" s="2176"/>
      <c r="AD5" s="2176"/>
      <c r="AE5" s="2176"/>
      <c r="AF5" s="2176"/>
      <c r="AG5" s="2176"/>
      <c r="AH5" s="2176"/>
      <c r="AI5" s="2176"/>
      <c r="AJ5" s="2176"/>
      <c r="AK5" s="2176"/>
      <c r="AL5" s="2176"/>
      <c r="AM5" s="2176"/>
      <c r="AN5" s="2176"/>
      <c r="AO5" s="2176"/>
      <c r="AP5" s="2176"/>
      <c r="AQ5" s="2176"/>
      <c r="AR5" s="2176"/>
      <c r="AS5" s="2176"/>
      <c r="AT5" s="2176"/>
      <c r="AU5" s="2176"/>
      <c r="AV5" s="2176"/>
      <c r="AW5" s="2176"/>
      <c r="AX5" s="2176"/>
      <c r="AY5" s="2176"/>
      <c r="AZ5" s="2176"/>
      <c r="BA5" s="2176"/>
      <c r="BB5" s="2176"/>
      <c r="BC5" s="2176"/>
      <c r="BD5" s="2176"/>
      <c r="BE5" s="2176"/>
      <c r="BF5" s="2176"/>
      <c r="BG5" s="2176"/>
      <c r="BH5" s="2176"/>
      <c r="BI5" s="2176"/>
      <c r="BJ5" s="2176"/>
      <c r="BK5" s="2176"/>
      <c r="BL5" s="2176"/>
      <c r="BM5" s="2176"/>
      <c r="BN5" s="2176"/>
      <c r="BO5" s="2176"/>
      <c r="BP5" s="2176"/>
      <c r="BQ5" s="2176"/>
      <c r="BR5" s="2176"/>
      <c r="BS5" s="2176"/>
      <c r="GC5" s="1880">
        <v>26</v>
      </c>
    </row>
    <row s="2145" customFormat="1" customHeight="1" ht="18.75">
      <c r="B6" s="950"/>
      <c r="E6" s="952"/>
      <c r="F6" s="2221" t="str">
        <f>IF(org=0,"Не определено",org)</f>
        <v>ГУП "Белоблводоканал"</v>
      </c>
      <c r="G6" s="2222"/>
      <c r="H6" s="2222"/>
      <c r="I6" s="2222"/>
      <c r="J6" s="2222"/>
      <c r="K6" s="2222"/>
      <c r="L6" s="2222"/>
      <c r="M6" s="2222"/>
      <c r="N6" s="2222"/>
      <c r="O6" s="2222"/>
      <c r="P6" s="2222"/>
      <c r="Q6" s="2222"/>
      <c r="R6" s="2222"/>
      <c r="S6" s="2222"/>
      <c r="T6" s="2222"/>
      <c r="U6" s="2222"/>
      <c r="V6" s="2222"/>
      <c r="W6" s="2222"/>
      <c r="X6" s="2222"/>
      <c r="Y6" s="2222"/>
      <c r="Z6" s="2222"/>
      <c r="AA6" s="2222"/>
      <c r="AB6" s="2222"/>
      <c r="AC6" s="2222"/>
      <c r="AD6" s="2222"/>
      <c r="AE6" s="2222"/>
      <c r="AF6" s="2222"/>
      <c r="AG6" s="2222"/>
      <c r="AH6" s="2222"/>
      <c r="AI6" s="2222"/>
      <c r="AJ6" s="2222"/>
      <c r="AK6" s="2222"/>
      <c r="AL6" s="2222"/>
      <c r="AM6" s="2222"/>
      <c r="AN6" s="2222"/>
      <c r="AO6" s="2222"/>
      <c r="AP6" s="2222"/>
      <c r="AQ6" s="2222"/>
      <c r="AR6" s="2222"/>
      <c r="AS6" s="2222"/>
      <c r="AT6" s="2222"/>
      <c r="AU6" s="2222"/>
      <c r="AV6" s="2222"/>
      <c r="AW6" s="2222"/>
      <c r="AX6" s="2222"/>
      <c r="AY6" s="2222"/>
      <c r="AZ6" s="2222"/>
      <c r="BA6" s="2222"/>
      <c r="BB6" s="2222"/>
      <c r="BC6" s="2222"/>
      <c r="BD6" s="2222"/>
      <c r="BE6" s="2222"/>
      <c r="BF6" s="2222"/>
      <c r="BG6" s="2222"/>
      <c r="BH6" s="2222"/>
      <c r="BI6" s="2222"/>
      <c r="BJ6" s="2222"/>
      <c r="BK6" s="2222"/>
      <c r="BL6" s="2222"/>
      <c r="BM6" s="2222"/>
      <c r="BN6" s="2222"/>
      <c r="BO6" s="2222"/>
      <c r="BP6" s="2222"/>
      <c r="BQ6" s="2222"/>
      <c r="BR6" s="2222"/>
      <c r="BS6" s="2222"/>
      <c r="GC6" s="951">
        <v>18</v>
      </c>
    </row>
    <row s="940" customFormat="1" customHeight="1" ht="10.5">
      <c r="B7" s="939"/>
      <c r="E7" s="940"/>
      <c r="F7" s="940"/>
      <c r="G7" s="942"/>
      <c r="H7" s="936"/>
      <c r="I7" s="936"/>
      <c r="J7" s="936"/>
      <c r="K7" s="936"/>
      <c r="L7" s="936"/>
      <c r="M7" s="940"/>
      <c r="N7" s="940"/>
      <c r="O7" s="940"/>
      <c r="P7" s="940"/>
      <c r="Q7" s="940"/>
      <c r="R7" s="940"/>
      <c r="S7" s="940"/>
      <c r="T7" s="940"/>
      <c r="U7" s="940"/>
      <c r="V7" s="940"/>
      <c r="W7" s="940"/>
      <c r="X7" s="940"/>
      <c r="Y7" s="940"/>
      <c r="Z7" s="940"/>
      <c r="AA7" s="940"/>
      <c r="AB7" s="940"/>
      <c r="AC7" s="940"/>
      <c r="AD7" s="940"/>
      <c r="AE7" s="940"/>
      <c r="AF7" s="940"/>
      <c r="AG7" s="940"/>
      <c r="AH7" s="940"/>
      <c r="AI7" s="940"/>
      <c r="AJ7" s="940"/>
      <c r="AK7" s="940"/>
      <c r="AL7" s="940"/>
      <c r="AM7" s="940"/>
      <c r="AN7" s="940"/>
      <c r="AO7" s="940"/>
      <c r="AP7" s="940"/>
      <c r="AQ7" s="940"/>
      <c r="AR7" s="940"/>
      <c r="AS7" s="940"/>
      <c r="AT7" s="940"/>
      <c r="AU7" s="940"/>
      <c r="AV7" s="940"/>
      <c r="AW7" s="940"/>
      <c r="AX7" s="940"/>
      <c r="AY7" s="940"/>
      <c r="AZ7" s="940"/>
      <c r="BA7" s="940"/>
      <c r="BB7" s="940"/>
      <c r="BC7" s="940"/>
      <c r="BD7" s="940"/>
      <c r="BE7" s="940"/>
      <c r="BF7" s="940"/>
      <c r="BG7" s="940"/>
      <c r="BH7" s="940"/>
      <c r="BI7" s="940"/>
      <c r="BJ7" s="940"/>
      <c r="BK7" s="940"/>
      <c r="BL7" s="940"/>
      <c r="BM7" s="940"/>
      <c r="BN7" s="940"/>
      <c r="BO7" s="940"/>
      <c r="BP7" s="940"/>
      <c r="BQ7" s="940"/>
      <c r="BR7" s="940"/>
      <c r="BS7" s="940"/>
      <c r="BT7" s="940"/>
      <c r="BU7" s="940"/>
      <c r="BV7" s="940"/>
      <c r="BW7" s="940"/>
      <c r="BX7" s="940"/>
      <c r="BY7" s="940"/>
      <c r="BZ7" s="940"/>
      <c r="CA7" s="940"/>
      <c r="CB7" s="940"/>
      <c r="CC7" s="940"/>
      <c r="CD7" s="940"/>
      <c r="CE7" s="940"/>
      <c r="CF7" s="940"/>
      <c r="CG7" s="940"/>
      <c r="CH7" s="940"/>
      <c r="CI7" s="940"/>
      <c r="CJ7" s="940"/>
      <c r="CK7" s="940"/>
      <c r="CL7" s="940"/>
      <c r="CM7" s="940"/>
      <c r="CN7" s="940"/>
      <c r="CO7" s="940"/>
      <c r="CP7" s="940"/>
      <c r="CQ7" s="940"/>
      <c r="CR7" s="940"/>
      <c r="CS7" s="940"/>
      <c r="CT7" s="940"/>
      <c r="CU7" s="940"/>
      <c r="CV7" s="940"/>
      <c r="CW7" s="940"/>
      <c r="CX7" s="940"/>
      <c r="CY7" s="940"/>
      <c r="CZ7" s="940"/>
      <c r="DA7" s="940"/>
      <c r="DB7" s="940"/>
      <c r="DC7" s="940"/>
      <c r="DD7" s="940"/>
      <c r="DE7" s="940"/>
      <c r="DF7" s="940"/>
      <c r="DG7" s="940"/>
      <c r="DH7" s="940"/>
      <c r="DI7" s="940"/>
      <c r="DJ7" s="940"/>
      <c r="DK7" s="940"/>
      <c r="DL7" s="940"/>
      <c r="DM7" s="940"/>
      <c r="DN7" s="940"/>
      <c r="DO7" s="940"/>
      <c r="DP7" s="940"/>
      <c r="DQ7" s="940"/>
      <c r="DR7" s="940"/>
      <c r="DS7" s="940"/>
      <c r="DT7" s="940"/>
      <c r="DU7" s="940"/>
      <c r="DV7" s="940"/>
      <c r="DW7" s="940"/>
      <c r="DX7" s="940"/>
      <c r="DY7" s="940"/>
      <c r="DZ7" s="940"/>
      <c r="EA7" s="940"/>
      <c r="EB7" s="940"/>
      <c r="EC7" s="940"/>
      <c r="ED7" s="940"/>
      <c r="EE7" s="940"/>
      <c r="EF7" s="940"/>
      <c r="EG7" s="940"/>
      <c r="EH7" s="940"/>
      <c r="EI7" s="940"/>
      <c r="EJ7" s="940"/>
      <c r="EK7" s="940"/>
      <c r="EL7" s="940"/>
      <c r="EM7" s="940"/>
      <c r="EN7" s="940"/>
      <c r="EO7" s="940"/>
      <c r="EP7" s="940"/>
      <c r="EQ7" s="940"/>
      <c r="ER7" s="940"/>
      <c r="ES7" s="940"/>
      <c r="ET7" s="940"/>
      <c r="EU7" s="940"/>
      <c r="EV7" s="940"/>
      <c r="EW7" s="940"/>
      <c r="EX7" s="940"/>
      <c r="EY7" s="940"/>
      <c r="EZ7" s="940"/>
      <c r="FA7" s="940"/>
      <c r="FB7" s="940"/>
      <c r="FC7" s="940"/>
      <c r="FD7" s="940"/>
      <c r="FE7" s="940"/>
      <c r="FF7" s="940"/>
      <c r="FG7" s="940"/>
      <c r="FH7" s="940"/>
      <c r="FI7" s="940"/>
      <c r="FJ7" s="940"/>
      <c r="FK7" s="940"/>
      <c r="FL7" s="940"/>
      <c r="FM7" s="940"/>
      <c r="FN7" s="940"/>
      <c r="FO7" s="940"/>
      <c r="FP7" s="940"/>
      <c r="FQ7" s="940"/>
      <c r="FR7" s="940"/>
      <c r="FS7" s="940"/>
      <c r="FT7" s="940"/>
      <c r="FU7" s="940"/>
      <c r="FV7" s="940"/>
      <c r="FW7" s="940"/>
      <c r="GC7" s="938">
        <v>10</v>
      </c>
    </row>
    <row s="940" customFormat="1" customHeight="1" ht="11.25" hidden="1">
      <c r="B8" s="941"/>
      <c r="F8" s="1063"/>
      <c r="G8" s="770"/>
      <c r="H8" s="367"/>
      <c r="I8" s="367"/>
      <c r="J8" s="367"/>
      <c r="K8" s="367"/>
      <c r="L8" s="367"/>
      <c r="M8" s="1063"/>
      <c r="N8" s="1063"/>
      <c r="O8" s="2457" t="s">
        <v>1233</v>
      </c>
      <c r="P8" s="2458"/>
      <c r="Q8" s="2458"/>
      <c r="R8" s="2458"/>
      <c r="S8" s="2458"/>
      <c r="T8" s="2458"/>
      <c r="U8" s="2458"/>
      <c r="V8" s="2458"/>
      <c r="W8" s="2458"/>
      <c r="X8" s="2458"/>
      <c r="Y8" s="2458"/>
      <c r="Z8" s="2458"/>
      <c r="AA8" s="2458"/>
      <c r="AB8" s="2458"/>
      <c r="AC8" s="2458"/>
      <c r="AD8" s="2458"/>
      <c r="AE8" s="2458"/>
      <c r="AF8" s="2458"/>
      <c r="AG8" s="2458"/>
      <c r="AH8" s="2458"/>
      <c r="AI8" s="2458"/>
      <c r="AJ8" s="2458"/>
      <c r="AK8" s="2458"/>
      <c r="AL8" s="2458"/>
      <c r="AM8" s="2458"/>
      <c r="AN8" s="2458"/>
      <c r="AO8" s="2458"/>
      <c r="AP8" s="2458"/>
      <c r="AQ8" s="2458"/>
      <c r="AR8" s="2458"/>
      <c r="AS8" s="2458"/>
      <c r="AT8" s="2458"/>
      <c r="AU8" s="2458"/>
      <c r="AV8" s="2458"/>
      <c r="AW8" s="2458"/>
      <c r="AX8" s="2458"/>
      <c r="AY8" s="2458"/>
      <c r="AZ8" s="2458"/>
      <c r="BA8" s="2458"/>
      <c r="BB8" s="2458"/>
      <c r="BC8" s="2458"/>
      <c r="BD8" s="2458"/>
      <c r="BE8" s="2458"/>
      <c r="BF8" s="2458"/>
      <c r="BG8" s="2458"/>
      <c r="BH8" s="2458"/>
      <c r="BI8" s="2458"/>
      <c r="BJ8" s="2458"/>
      <c r="BK8" s="2458"/>
      <c r="BL8" s="2458"/>
      <c r="BM8" s="2458"/>
      <c r="BN8" s="2458"/>
      <c r="BO8" s="2458"/>
      <c r="BP8" s="2458"/>
      <c r="BQ8" s="2458"/>
      <c r="BR8" s="2458"/>
      <c r="BS8" s="2459"/>
      <c r="BT8" s="2446"/>
      <c r="BU8" s="2447"/>
      <c r="BV8" s="2447"/>
      <c r="BW8" s="2447"/>
      <c r="BX8" s="2447"/>
      <c r="BY8" s="2447"/>
      <c r="BZ8" s="2447"/>
      <c r="CA8" s="2447"/>
      <c r="CB8" s="2447"/>
      <c r="CC8" s="2447"/>
      <c r="CD8" s="2447"/>
      <c r="CE8" s="2447"/>
      <c r="CF8" s="2447"/>
      <c r="CG8" s="2447"/>
      <c r="CH8" s="2447"/>
      <c r="CI8" s="2447"/>
      <c r="CJ8" s="2447"/>
      <c r="CK8" s="2447"/>
      <c r="CL8" s="2447"/>
      <c r="CM8" s="2447"/>
      <c r="CN8" s="2447"/>
      <c r="CO8" s="2447"/>
      <c r="CP8" s="2447"/>
      <c r="CQ8" s="2447"/>
      <c r="CR8" s="2447"/>
      <c r="CS8" s="2447"/>
      <c r="CT8" s="2447"/>
      <c r="CU8" s="2447"/>
      <c r="CV8" s="2447"/>
      <c r="CW8" s="2447"/>
      <c r="CX8" s="2448"/>
      <c r="CY8" s="2449"/>
      <c r="CZ8" s="2450"/>
      <c r="DA8" s="2450"/>
      <c r="DB8" s="2450"/>
      <c r="DC8" s="2450"/>
      <c r="DD8" s="2450"/>
      <c r="DE8" s="2450"/>
      <c r="DF8" s="2450"/>
      <c r="DG8" s="2450"/>
      <c r="DH8" s="2450"/>
      <c r="DI8" s="2450"/>
      <c r="DJ8" s="2450"/>
      <c r="DK8" s="2450"/>
      <c r="DL8" s="2450"/>
      <c r="DM8" s="2450"/>
      <c r="DN8" s="2450"/>
      <c r="DO8" s="2450"/>
      <c r="DP8" s="2450"/>
      <c r="DQ8" s="2450"/>
      <c r="DR8" s="2450"/>
      <c r="DS8" s="2450"/>
      <c r="DT8" s="2450"/>
      <c r="DU8" s="2450"/>
      <c r="DV8" s="2450"/>
      <c r="DW8" s="2450"/>
      <c r="DX8" s="2451"/>
      <c r="DY8" s="2452" t="s">
        <v>1234</v>
      </c>
      <c r="DZ8" s="2453"/>
      <c r="EA8" s="2453"/>
      <c r="EB8" s="2453"/>
      <c r="EC8" s="2453"/>
      <c r="ED8" s="2453"/>
      <c r="EE8" s="2453"/>
      <c r="EF8" s="2453"/>
      <c r="EG8" s="2453"/>
      <c r="EH8" s="2453"/>
      <c r="EI8" s="2453"/>
      <c r="EJ8" s="2453"/>
      <c r="EK8" s="2453"/>
      <c r="EL8" s="2453"/>
      <c r="EM8" s="2453"/>
      <c r="EN8" s="2453"/>
      <c r="EO8" s="2453"/>
      <c r="EP8" s="2453"/>
      <c r="EQ8" s="2453"/>
      <c r="ER8" s="2453"/>
      <c r="ES8" s="2453"/>
      <c r="ET8" s="2453"/>
      <c r="EU8" s="2453"/>
      <c r="EV8" s="2453"/>
      <c r="EW8" s="2453"/>
      <c r="EX8" s="2453"/>
      <c r="EY8" s="2453"/>
      <c r="EZ8" s="2453"/>
      <c r="FA8" s="2453"/>
      <c r="FB8" s="2453"/>
      <c r="FC8" s="2453"/>
      <c r="FD8" s="2453"/>
      <c r="FE8" s="2453"/>
      <c r="FF8" s="2453"/>
      <c r="FG8" s="2453"/>
      <c r="FH8" s="2453"/>
      <c r="FI8" s="2453"/>
      <c r="FJ8" s="2453"/>
      <c r="FK8" s="2453"/>
      <c r="FL8" s="2453"/>
      <c r="FM8" s="2453"/>
      <c r="FN8" s="2453"/>
      <c r="FO8" s="2453"/>
      <c r="FP8" s="2453"/>
      <c r="FQ8" s="2453"/>
      <c r="FR8" s="2453"/>
      <c r="FS8" s="2453"/>
      <c r="FT8" s="2453"/>
      <c r="FU8" s="2453"/>
      <c r="FV8" s="2453"/>
      <c r="FW8" s="2454"/>
      <c r="FX8" s="1063"/>
      <c r="GC8" s="940">
        <v>0</v>
      </c>
    </row>
    <row s="940" customFormat="1" customHeight="1" ht="11.25" hidden="1">
      <c r="B9" s="941"/>
      <c r="F9" s="1063"/>
      <c r="G9" s="770"/>
      <c r="H9" s="367"/>
      <c r="I9" s="367"/>
      <c r="J9" s="367"/>
      <c r="K9" s="367"/>
      <c r="L9" s="367"/>
      <c r="M9" s="1063"/>
      <c r="N9" s="1063"/>
      <c r="O9" s="1063"/>
      <c r="P9" s="1063"/>
      <c r="Q9" s="1063"/>
      <c r="R9" s="1063"/>
      <c r="S9" s="1063"/>
      <c r="T9" s="1063"/>
      <c r="U9" s="1063"/>
      <c r="V9" s="1063"/>
      <c r="W9" s="1063"/>
      <c r="X9" s="1063"/>
      <c r="Y9" s="1063"/>
      <c r="Z9" s="1063"/>
      <c r="AA9" s="1063"/>
      <c r="AB9" s="1063"/>
      <c r="AC9" s="1063"/>
      <c r="AD9" s="1063"/>
      <c r="AE9" s="1063"/>
      <c r="AF9" s="1063"/>
      <c r="AG9" s="1063"/>
      <c r="AH9" s="1063"/>
      <c r="AI9" s="1063"/>
      <c r="AJ9" s="1063"/>
      <c r="AK9" s="1063"/>
      <c r="AL9" s="1063"/>
      <c r="AM9" s="1063"/>
      <c r="AN9" s="1063"/>
      <c r="AO9" s="1063"/>
      <c r="AP9" s="1063"/>
      <c r="AQ9" s="1063"/>
      <c r="AR9" s="1063"/>
      <c r="AS9" s="1063"/>
      <c r="AT9" s="1063"/>
      <c r="AU9" s="1063"/>
      <c r="AV9" s="1063"/>
      <c r="AW9" s="1063"/>
      <c r="AX9" s="1063"/>
      <c r="AY9" s="1063"/>
      <c r="AZ9" s="1063"/>
      <c r="BA9" s="1063"/>
      <c r="BB9" s="1063"/>
      <c r="BC9" s="1063"/>
      <c r="BD9" s="1063"/>
      <c r="BE9" s="1063"/>
      <c r="BF9" s="1063"/>
      <c r="BG9" s="1063"/>
      <c r="BH9" s="1063"/>
      <c r="BI9" s="1063"/>
      <c r="BJ9" s="1063"/>
      <c r="BK9" s="1063"/>
      <c r="BL9" s="1063"/>
      <c r="BM9" s="1063"/>
      <c r="BN9" s="1063"/>
      <c r="BO9" s="1063"/>
      <c r="BP9" s="1063"/>
      <c r="BQ9" s="1063"/>
      <c r="BR9" s="1063"/>
      <c r="BS9" s="1063"/>
      <c r="BT9" s="1063"/>
      <c r="BU9" s="1063"/>
      <c r="BV9" s="1063"/>
      <c r="BW9" s="1063"/>
      <c r="BX9" s="1063"/>
      <c r="BY9" s="1063"/>
      <c r="BZ9" s="1063"/>
      <c r="CA9" s="1063"/>
      <c r="CB9" s="1063"/>
      <c r="CC9" s="1063"/>
      <c r="CD9" s="1063"/>
      <c r="CE9" s="1063"/>
      <c r="CF9" s="1063"/>
      <c r="CG9" s="1063"/>
      <c r="CH9" s="1063"/>
      <c r="CI9" s="1063"/>
      <c r="CJ9" s="1063"/>
      <c r="CK9" s="1063"/>
      <c r="CL9" s="1063"/>
      <c r="CM9" s="1063"/>
      <c r="CN9" s="1063"/>
      <c r="CO9" s="1063"/>
      <c r="CP9" s="1063"/>
      <c r="CQ9" s="1063"/>
      <c r="CR9" s="1063"/>
      <c r="CS9" s="1063"/>
      <c r="CT9" s="1063"/>
      <c r="CU9" s="1063"/>
      <c r="CV9" s="1063"/>
      <c r="CW9" s="1063"/>
      <c r="CX9" s="1063"/>
      <c r="CY9" s="1063"/>
      <c r="CZ9" s="1063"/>
      <c r="DA9" s="1063"/>
      <c r="DB9" s="1063"/>
      <c r="DC9" s="1063"/>
      <c r="DD9" s="1063"/>
      <c r="DE9" s="1063"/>
      <c r="DF9" s="1063"/>
      <c r="DG9" s="1063"/>
      <c r="DH9" s="1063"/>
      <c r="DI9" s="1063"/>
      <c r="DJ9" s="1063"/>
      <c r="DK9" s="1063"/>
      <c r="DL9" s="1063"/>
      <c r="DM9" s="1063"/>
      <c r="DN9" s="1063"/>
      <c r="DO9" s="1063"/>
      <c r="DP9" s="1063"/>
      <c r="DQ9" s="1063"/>
      <c r="DR9" s="1063"/>
      <c r="DS9" s="1063"/>
      <c r="DT9" s="1063"/>
      <c r="DU9" s="1063"/>
      <c r="DV9" s="1063"/>
      <c r="DW9" s="1063"/>
      <c r="DX9" s="1063"/>
      <c r="DY9" s="1063"/>
      <c r="DZ9" s="1063"/>
      <c r="EA9" s="1063"/>
      <c r="EB9" s="1063"/>
      <c r="EC9" s="1063"/>
      <c r="ED9" s="1063"/>
      <c r="EE9" s="1063"/>
      <c r="EF9" s="1063"/>
      <c r="EG9" s="1063"/>
      <c r="EH9" s="1063"/>
      <c r="EI9" s="1063"/>
      <c r="EJ9" s="1063"/>
      <c r="EK9" s="1063"/>
      <c r="EL9" s="1063"/>
      <c r="EM9" s="1063"/>
      <c r="EN9" s="1063"/>
      <c r="EO9" s="1063"/>
      <c r="EP9" s="1063"/>
      <c r="EQ9" s="1063"/>
      <c r="ER9" s="1063"/>
      <c r="ES9" s="1063"/>
      <c r="ET9" s="1063"/>
      <c r="EU9" s="1063"/>
      <c r="EV9" s="1063"/>
      <c r="EW9" s="1063"/>
      <c r="EX9" s="1063"/>
      <c r="EY9" s="1063"/>
      <c r="EZ9" s="1063"/>
      <c r="FA9" s="1063"/>
      <c r="FB9" s="1063"/>
      <c r="FC9" s="1063"/>
      <c r="FD9" s="1063"/>
      <c r="FE9" s="1063"/>
      <c r="FF9" s="1063"/>
      <c r="FG9" s="1063"/>
      <c r="FH9" s="1063"/>
      <c r="FI9" s="1063"/>
      <c r="FJ9" s="1063"/>
      <c r="FK9" s="1063"/>
      <c r="FL9" s="1063"/>
      <c r="FM9" s="1063"/>
      <c r="FN9" s="1063"/>
      <c r="FO9" s="1063"/>
      <c r="FP9" s="1063"/>
      <c r="FQ9" s="1063"/>
      <c r="FR9" s="1063"/>
      <c r="FS9" s="1063"/>
      <c r="FT9" s="1063"/>
      <c r="FU9" s="1063"/>
      <c r="FV9" s="1063"/>
      <c r="FW9" s="2455"/>
      <c r="FX9" s="1063"/>
      <c r="GC9" s="940">
        <v>0</v>
      </c>
    </row>
    <row s="940" customFormat="1" customHeight="1" ht="11.549999999999999">
      <c r="B10" s="941"/>
      <c r="F10" s="2436" t="s">
        <v>463</v>
      </c>
      <c r="G10" s="2437"/>
      <c r="H10" s="2437"/>
      <c r="I10" s="2437"/>
      <c r="J10" s="2437"/>
      <c r="K10" s="2437"/>
      <c r="L10" s="2437"/>
      <c r="M10" s="2437"/>
      <c r="N10" s="2437"/>
      <c r="O10" s="2437"/>
      <c r="P10" s="2437"/>
      <c r="Q10" s="2437"/>
      <c r="R10" s="2437"/>
      <c r="S10" s="2437"/>
      <c r="T10" s="2437"/>
      <c r="U10" s="2437"/>
      <c r="V10" s="2437"/>
      <c r="W10" s="2437"/>
      <c r="X10" s="2437"/>
      <c r="Y10" s="2437"/>
      <c r="Z10" s="2437"/>
      <c r="AA10" s="2437"/>
      <c r="AB10" s="2437"/>
      <c r="AC10" s="2437"/>
      <c r="AD10" s="2437"/>
      <c r="AE10" s="2437"/>
      <c r="AF10" s="2437"/>
      <c r="AG10" s="2437"/>
      <c r="AH10" s="2437"/>
      <c r="AI10" s="2437"/>
      <c r="AJ10" s="2437"/>
      <c r="AK10" s="2437"/>
      <c r="AL10" s="2437"/>
      <c r="AM10" s="2437"/>
      <c r="AN10" s="2437"/>
      <c r="AO10" s="2437"/>
      <c r="AP10" s="2437"/>
      <c r="AQ10" s="2437"/>
      <c r="AR10" s="2437"/>
      <c r="AS10" s="2437"/>
      <c r="AT10" s="2437"/>
      <c r="AU10" s="2437"/>
      <c r="AV10" s="2437"/>
      <c r="AW10" s="2437"/>
      <c r="AX10" s="2437"/>
      <c r="AY10" s="2437"/>
      <c r="AZ10" s="2437"/>
      <c r="BA10" s="2437"/>
      <c r="BB10" s="2437"/>
      <c r="BC10" s="2437"/>
      <c r="BD10" s="2437"/>
      <c r="BE10" s="2437"/>
      <c r="BF10" s="2437"/>
      <c r="BG10" s="2437"/>
      <c r="BH10" s="2437"/>
      <c r="BI10" s="2437"/>
      <c r="BJ10" s="2437"/>
      <c r="BK10" s="2437"/>
      <c r="BL10" s="2437"/>
      <c r="BM10" s="2437"/>
      <c r="BN10" s="2437"/>
      <c r="BO10" s="2437"/>
      <c r="BP10" s="2437"/>
      <c r="BQ10" s="2437"/>
      <c r="BR10" s="2437"/>
      <c r="BS10" s="2437"/>
      <c r="BT10" s="2437"/>
      <c r="BU10" s="2437"/>
      <c r="BV10" s="2437"/>
      <c r="BW10" s="2437"/>
      <c r="BX10" s="2437"/>
      <c r="BY10" s="2437"/>
      <c r="BZ10" s="2437"/>
      <c r="CA10" s="2437"/>
      <c r="CB10" s="2437"/>
      <c r="CC10" s="2437"/>
      <c r="CD10" s="2437"/>
      <c r="CE10" s="2437"/>
      <c r="CF10" s="2437"/>
      <c r="CG10" s="2437"/>
      <c r="CH10" s="2437"/>
      <c r="CI10" s="2437"/>
      <c r="CJ10" s="2437"/>
      <c r="CK10" s="2437"/>
      <c r="CL10" s="2437"/>
      <c r="CM10" s="2437"/>
      <c r="CN10" s="2437"/>
      <c r="CO10" s="2437"/>
      <c r="CP10" s="2437"/>
      <c r="CQ10" s="2437"/>
      <c r="CR10" s="2437"/>
      <c r="CS10" s="2437"/>
      <c r="CT10" s="2437"/>
      <c r="CU10" s="2437"/>
      <c r="CV10" s="2437"/>
      <c r="CW10" s="2437"/>
      <c r="CX10" s="2437"/>
      <c r="CY10" s="2437"/>
      <c r="CZ10" s="2437"/>
      <c r="DA10" s="2437"/>
      <c r="DB10" s="2437"/>
      <c r="DC10" s="2437"/>
      <c r="DD10" s="2437"/>
      <c r="DE10" s="2437"/>
      <c r="DF10" s="2437"/>
      <c r="DG10" s="2437"/>
      <c r="DH10" s="2437"/>
      <c r="DI10" s="2437"/>
      <c r="DJ10" s="2437"/>
      <c r="DK10" s="2437"/>
      <c r="DL10" s="2437"/>
      <c r="DM10" s="2437"/>
      <c r="DN10" s="2437"/>
      <c r="DO10" s="2437"/>
      <c r="DP10" s="2437"/>
      <c r="DQ10" s="2437"/>
      <c r="DR10" s="2437"/>
      <c r="DS10" s="2437"/>
      <c r="DT10" s="2437"/>
      <c r="DU10" s="2437"/>
      <c r="DV10" s="2437"/>
      <c r="DW10" s="2437"/>
      <c r="DX10" s="2437"/>
      <c r="DY10" s="2437"/>
      <c r="DZ10" s="2437"/>
      <c r="EA10" s="2437"/>
      <c r="EB10" s="2437"/>
      <c r="EC10" s="2437"/>
      <c r="ED10" s="2437"/>
      <c r="EE10" s="2437"/>
      <c r="EF10" s="2437"/>
      <c r="EG10" s="2437"/>
      <c r="EH10" s="2437"/>
      <c r="EI10" s="2437"/>
      <c r="EJ10" s="2437"/>
      <c r="EK10" s="2437"/>
      <c r="EL10" s="2437"/>
      <c r="EM10" s="2437"/>
      <c r="EN10" s="2437"/>
      <c r="EO10" s="2437"/>
      <c r="EP10" s="2437"/>
      <c r="EQ10" s="2437"/>
      <c r="ER10" s="2437"/>
      <c r="ES10" s="2437"/>
      <c r="ET10" s="2437"/>
      <c r="EU10" s="2437"/>
      <c r="EV10" s="2437"/>
      <c r="EW10" s="2437"/>
      <c r="EX10" s="2437"/>
      <c r="EY10" s="2437"/>
      <c r="EZ10" s="2437"/>
      <c r="FA10" s="2437"/>
      <c r="FB10" s="2437"/>
      <c r="FC10" s="2437"/>
      <c r="FD10" s="2437"/>
      <c r="FE10" s="2437"/>
      <c r="FF10" s="2437"/>
      <c r="FG10" s="2437"/>
      <c r="FH10" s="2437"/>
      <c r="FI10" s="2437"/>
      <c r="FJ10" s="2437"/>
      <c r="FK10" s="2437"/>
      <c r="FL10" s="2437"/>
      <c r="FM10" s="2437"/>
      <c r="FN10" s="2437"/>
      <c r="FO10" s="2437"/>
      <c r="FP10" s="2437"/>
      <c r="FQ10" s="2437"/>
      <c r="FR10" s="2437"/>
      <c r="FS10" s="2437"/>
      <c r="FT10" s="2437"/>
      <c r="FU10" s="2437"/>
      <c r="FV10" s="2438"/>
      <c r="FW10" s="2455"/>
      <c r="FX10" s="1063"/>
      <c r="GC10" s="940">
        <v>11</v>
      </c>
    </row>
    <row customHeight="1" ht="12.75">
      <c r="E11" s="944"/>
      <c r="F11" s="2212" t="s">
        <v>88</v>
      </c>
      <c r="G11" s="2212" t="s">
        <v>1235</v>
      </c>
      <c r="H11" s="2444" t="s">
        <v>1236</v>
      </c>
      <c r="I11" s="2444" t="s">
        <v>1237</v>
      </c>
      <c r="J11" s="2445"/>
      <c r="K11" s="2445"/>
      <c r="L11" s="2445"/>
      <c r="M11" s="2445"/>
      <c r="N11" s="2445"/>
      <c r="O11" s="2216" t="s">
        <v>1238</v>
      </c>
      <c r="P11" s="2216"/>
      <c r="Q11" s="2216"/>
      <c r="R11" s="2216"/>
      <c r="S11" s="2216"/>
      <c r="T11" s="2216"/>
      <c r="U11" s="2216"/>
      <c r="V11" s="2216"/>
      <c r="W11" s="2216"/>
      <c r="X11" s="2216"/>
      <c r="Y11" s="2216"/>
      <c r="Z11" s="2216"/>
      <c r="AA11" s="2216"/>
      <c r="AB11" s="2216"/>
      <c r="AC11" s="2441"/>
      <c r="AD11" s="2441"/>
      <c r="AE11" s="2441"/>
      <c r="AF11" s="2441"/>
      <c r="AG11" s="2441"/>
      <c r="AH11" s="2441"/>
      <c r="AI11" s="2441"/>
      <c r="AJ11" s="2441"/>
      <c r="AK11" s="2441"/>
      <c r="AL11" s="2441"/>
      <c r="AM11" s="2441"/>
      <c r="AN11" s="2441"/>
      <c r="AO11" s="2441"/>
      <c r="AP11" s="2441"/>
      <c r="AQ11" s="2441"/>
      <c r="AR11" s="2441"/>
      <c r="AS11" s="2441"/>
      <c r="AT11" s="2441"/>
      <c r="AU11" s="2441"/>
      <c r="AV11" s="2441"/>
      <c r="AW11" s="2441"/>
      <c r="AX11" s="2441"/>
      <c r="AY11" s="2441"/>
      <c r="AZ11" s="2441"/>
      <c r="BA11" s="2441"/>
      <c r="BB11" s="2441"/>
      <c r="BC11" s="2441"/>
      <c r="BD11" s="2441"/>
      <c r="BE11" s="2441"/>
      <c r="BF11" s="2441"/>
      <c r="BG11" s="2441"/>
      <c r="BH11" s="2441"/>
      <c r="BI11" s="2441"/>
      <c r="BJ11" s="2441"/>
      <c r="BK11" s="2441"/>
      <c r="BL11" s="2441"/>
      <c r="BM11" s="2441"/>
      <c r="BN11" s="2441"/>
      <c r="BO11" s="2441"/>
      <c r="BP11" s="2441"/>
      <c r="BQ11" s="2441"/>
      <c r="BR11" s="2441"/>
      <c r="BS11" s="2460"/>
      <c r="BT11" s="2393" t="s">
        <v>1238</v>
      </c>
      <c r="BU11" s="2394"/>
      <c r="BV11" s="2394"/>
      <c r="BW11" s="2394"/>
      <c r="BX11" s="2394"/>
      <c r="BY11" s="2394"/>
      <c r="BZ11" s="2394"/>
      <c r="CA11" s="2394"/>
      <c r="CB11" s="2394"/>
      <c r="CC11" s="2394"/>
      <c r="CD11" s="2394"/>
      <c r="CE11" s="2394"/>
      <c r="CF11" s="2394"/>
      <c r="CG11" s="2394"/>
      <c r="CH11" s="2394"/>
      <c r="CI11" s="2394"/>
      <c r="CJ11" s="2394"/>
      <c r="CK11" s="2440"/>
      <c r="CL11" s="2443"/>
      <c r="CM11" s="2441"/>
      <c r="CN11" s="2441"/>
      <c r="CO11" s="2441"/>
      <c r="CP11" s="2441"/>
      <c r="CQ11" s="2441"/>
      <c r="CR11" s="2441"/>
      <c r="CS11" s="2441"/>
      <c r="CT11" s="2441"/>
      <c r="CU11" s="2441"/>
      <c r="CV11" s="2441"/>
      <c r="CW11" s="2441"/>
      <c r="CX11" s="2460"/>
      <c r="CY11" s="2393" t="s">
        <v>1238</v>
      </c>
      <c r="CZ11" s="2394"/>
      <c r="DA11" s="2394"/>
      <c r="DB11" s="2394"/>
      <c r="DC11" s="2394"/>
      <c r="DD11" s="2394"/>
      <c r="DE11" s="2394"/>
      <c r="DF11" s="2394"/>
      <c r="DG11" s="2394"/>
      <c r="DH11" s="2394"/>
      <c r="DI11" s="2394"/>
      <c r="DJ11" s="2440"/>
      <c r="DK11" s="2443"/>
      <c r="DL11" s="2441"/>
      <c r="DM11" s="2441"/>
      <c r="DN11" s="2441"/>
      <c r="DO11" s="2441"/>
      <c r="DP11" s="2441"/>
      <c r="DQ11" s="2441"/>
      <c r="DR11" s="2441"/>
      <c r="DS11" s="2441"/>
      <c r="DT11" s="2441"/>
      <c r="DU11" s="2441"/>
      <c r="DV11" s="2441"/>
      <c r="DW11" s="2441"/>
      <c r="DX11" s="2441"/>
      <c r="DY11" s="2441"/>
      <c r="DZ11" s="2441"/>
      <c r="EA11" s="2441"/>
      <c r="EB11" s="2441"/>
      <c r="EC11" s="2441"/>
      <c r="ED11" s="2441"/>
      <c r="EE11" s="2441"/>
      <c r="EF11" s="2441"/>
      <c r="EG11" s="2441"/>
      <c r="EH11" s="2441"/>
      <c r="EI11" s="2441"/>
      <c r="EJ11" s="2441"/>
      <c r="EK11" s="2441"/>
      <c r="EL11" s="2441"/>
      <c r="EM11" s="2441"/>
      <c r="EN11" s="2441"/>
      <c r="EO11" s="2441"/>
      <c r="EP11" s="2441"/>
      <c r="EQ11" s="2441"/>
      <c r="ER11" s="2441"/>
      <c r="ES11" s="2441"/>
      <c r="ET11" s="2441"/>
      <c r="EU11" s="2441"/>
      <c r="EV11" s="2441"/>
      <c r="EW11" s="2441"/>
      <c r="EX11" s="2441"/>
      <c r="EY11" s="2441"/>
      <c r="EZ11" s="2441"/>
      <c r="FA11" s="2441"/>
      <c r="FB11" s="2441"/>
      <c r="FC11" s="2441"/>
      <c r="FD11" s="2441"/>
      <c r="FE11" s="2441"/>
      <c r="FF11" s="2441"/>
      <c r="FG11" s="2441"/>
      <c r="FH11" s="2441"/>
      <c r="FI11" s="2441"/>
      <c r="FJ11" s="2441"/>
      <c r="FK11" s="2441"/>
      <c r="FL11" s="2441"/>
      <c r="FM11" s="2441"/>
      <c r="FN11" s="2441"/>
      <c r="FO11" s="2441"/>
      <c r="FP11" s="2441"/>
      <c r="FQ11" s="2441"/>
      <c r="FR11" s="2441"/>
      <c r="FS11" s="2441"/>
      <c r="FT11" s="2441"/>
      <c r="FU11" s="2441"/>
      <c r="FV11" s="2441"/>
      <c r="FW11" s="2455"/>
      <c r="FX11" s="769"/>
      <c r="GC11" s="933">
        <v>12</v>
      </c>
    </row>
    <row customHeight="1" ht="12.75">
      <c r="D12" s="945"/>
      <c r="E12" s="944"/>
      <c r="F12" s="2212"/>
      <c r="G12" s="2212"/>
      <c r="H12" s="2444"/>
      <c r="I12" s="2444"/>
      <c r="J12" s="2445"/>
      <c r="K12" s="2445"/>
      <c r="L12" s="2445"/>
      <c r="M12" s="2445"/>
      <c r="N12" s="2445"/>
      <c r="O12" s="2216" t="s">
        <v>1239</v>
      </c>
      <c r="P12" s="2216"/>
      <c r="Q12" s="2216"/>
      <c r="R12" s="2216"/>
      <c r="S12" s="2216" t="s">
        <v>1240</v>
      </c>
      <c r="T12" s="2216"/>
      <c r="U12" s="2216"/>
      <c r="V12" s="2216"/>
      <c r="W12" s="2216"/>
      <c r="X12" s="2216"/>
      <c r="Y12" s="2216"/>
      <c r="Z12" s="2216"/>
      <c r="AA12" s="2216"/>
      <c r="AB12" s="2216"/>
      <c r="AC12" s="2441"/>
      <c r="AD12" s="2441"/>
      <c r="AE12" s="2441"/>
      <c r="AF12" s="2441"/>
      <c r="AG12" s="2441"/>
      <c r="AH12" s="2441"/>
      <c r="AI12" s="2441"/>
      <c r="AJ12" s="2441"/>
      <c r="AK12" s="2441"/>
      <c r="AL12" s="2441"/>
      <c r="AM12" s="2441"/>
      <c r="AN12" s="2441"/>
      <c r="AO12" s="2441"/>
      <c r="AP12" s="2441"/>
      <c r="AQ12" s="2441"/>
      <c r="AR12" s="2441"/>
      <c r="AS12" s="2441"/>
      <c r="AT12" s="2441"/>
      <c r="AU12" s="2441"/>
      <c r="AV12" s="2441"/>
      <c r="AW12" s="2441"/>
      <c r="AX12" s="2441"/>
      <c r="AY12" s="2441"/>
      <c r="AZ12" s="2441"/>
      <c r="BA12" s="2441"/>
      <c r="BB12" s="2441"/>
      <c r="BC12" s="2441"/>
      <c r="BD12" s="2441"/>
      <c r="BE12" s="2441"/>
      <c r="BF12" s="2441"/>
      <c r="BG12" s="2441"/>
      <c r="BH12" s="2441"/>
      <c r="BI12" s="2441"/>
      <c r="BJ12" s="2441"/>
      <c r="BK12" s="2441"/>
      <c r="BL12" s="2441"/>
      <c r="BM12" s="2441"/>
      <c r="BN12" s="2441"/>
      <c r="BO12" s="2441"/>
      <c r="BP12" s="2441"/>
      <c r="BQ12" s="2441"/>
      <c r="BR12" s="2441"/>
      <c r="BS12" s="2460"/>
      <c r="BT12" s="2393" t="s">
        <v>1241</v>
      </c>
      <c r="BU12" s="2394"/>
      <c r="BV12" s="2394"/>
      <c r="BW12" s="2440"/>
      <c r="BX12" s="2393" t="s">
        <v>1242</v>
      </c>
      <c r="BY12" s="2394"/>
      <c r="BZ12" s="2394"/>
      <c r="CA12" s="2440"/>
      <c r="CB12" s="2393" t="s">
        <v>1243</v>
      </c>
      <c r="CC12" s="2440"/>
      <c r="CD12" s="2393" t="s">
        <v>1244</v>
      </c>
      <c r="CE12" s="2394"/>
      <c r="CF12" s="2394"/>
      <c r="CG12" s="2394"/>
      <c r="CH12" s="2394"/>
      <c r="CI12" s="2394"/>
      <c r="CJ12" s="2394"/>
      <c r="CK12" s="2440"/>
      <c r="CL12" s="2443"/>
      <c r="CM12" s="2441"/>
      <c r="CN12" s="2441"/>
      <c r="CO12" s="2441"/>
      <c r="CP12" s="2441"/>
      <c r="CQ12" s="2441"/>
      <c r="CR12" s="2441"/>
      <c r="CS12" s="2441"/>
      <c r="CT12" s="2441"/>
      <c r="CU12" s="2441"/>
      <c r="CV12" s="2441"/>
      <c r="CW12" s="2441"/>
      <c r="CX12" s="2460"/>
      <c r="CY12" s="2393" t="s">
        <v>1245</v>
      </c>
      <c r="CZ12" s="2394"/>
      <c r="DA12" s="2394"/>
      <c r="DB12" s="2394"/>
      <c r="DC12" s="2394"/>
      <c r="DD12" s="2440"/>
      <c r="DE12" s="2393" t="s">
        <v>1246</v>
      </c>
      <c r="DF12" s="2440"/>
      <c r="DG12" s="2393" t="s">
        <v>1244</v>
      </c>
      <c r="DH12" s="2394"/>
      <c r="DI12" s="2394"/>
      <c r="DJ12" s="2440"/>
      <c r="DK12" s="2443"/>
      <c r="DL12" s="2441"/>
      <c r="DM12" s="2441"/>
      <c r="DN12" s="2441"/>
      <c r="DO12" s="2441"/>
      <c r="DP12" s="2441"/>
      <c r="DQ12" s="2441"/>
      <c r="DR12" s="2441"/>
      <c r="DS12" s="2441"/>
      <c r="DT12" s="2441"/>
      <c r="DU12" s="2441"/>
      <c r="DV12" s="2441"/>
      <c r="DW12" s="2441"/>
      <c r="DX12" s="2441"/>
      <c r="DY12" s="2441"/>
      <c r="DZ12" s="2441"/>
      <c r="EA12" s="2441"/>
      <c r="EB12" s="2441"/>
      <c r="EC12" s="2441"/>
      <c r="ED12" s="2441"/>
      <c r="EE12" s="2441"/>
      <c r="EF12" s="2441"/>
      <c r="EG12" s="2441"/>
      <c r="EH12" s="2441"/>
      <c r="EI12" s="2441"/>
      <c r="EJ12" s="2441"/>
      <c r="EK12" s="2441"/>
      <c r="EL12" s="2441"/>
      <c r="EM12" s="2441"/>
      <c r="EN12" s="2441"/>
      <c r="EO12" s="2441"/>
      <c r="EP12" s="2441"/>
      <c r="EQ12" s="2441"/>
      <c r="ER12" s="2441"/>
      <c r="ES12" s="2441"/>
      <c r="ET12" s="2441"/>
      <c r="EU12" s="2441"/>
      <c r="EV12" s="2441"/>
      <c r="EW12" s="2441"/>
      <c r="EX12" s="2441"/>
      <c r="EY12" s="2441"/>
      <c r="EZ12" s="2441"/>
      <c r="FA12" s="2441"/>
      <c r="FB12" s="2441"/>
      <c r="FC12" s="2441"/>
      <c r="FD12" s="2441"/>
      <c r="FE12" s="2441"/>
      <c r="FF12" s="2441"/>
      <c r="FG12" s="2441"/>
      <c r="FH12" s="2441"/>
      <c r="FI12" s="2441"/>
      <c r="FJ12" s="2441"/>
      <c r="FK12" s="2441"/>
      <c r="FL12" s="2441"/>
      <c r="FM12" s="2441"/>
      <c r="FN12" s="2441"/>
      <c r="FO12" s="2441"/>
      <c r="FP12" s="2441"/>
      <c r="FQ12" s="2441"/>
      <c r="FR12" s="2441"/>
      <c r="FS12" s="2441"/>
      <c r="FT12" s="2441"/>
      <c r="FU12" s="2441"/>
      <c r="FV12" s="2441"/>
      <c r="FW12" s="2455"/>
      <c r="FX12" s="769"/>
      <c r="GC12" s="933">
        <v>12</v>
      </c>
    </row>
    <row customHeight="1" ht="37.8">
      <c r="D13" s="945"/>
      <c r="E13" s="944"/>
      <c r="F13" s="2212"/>
      <c r="G13" s="2212"/>
      <c r="H13" s="2444"/>
      <c r="I13" s="2444"/>
      <c r="J13" s="2445"/>
      <c r="K13" s="2445"/>
      <c r="L13" s="2445"/>
      <c r="M13" s="2445"/>
      <c r="N13" s="2445"/>
      <c r="O13" s="2216" t="s">
        <v>1247</v>
      </c>
      <c r="P13" s="2216"/>
      <c r="Q13" s="2216"/>
      <c r="R13" s="2216"/>
      <c r="S13" s="2343" t="s">
        <v>1248</v>
      </c>
      <c r="T13" s="2395"/>
      <c r="U13" s="2134" t="s">
        <v>1249</v>
      </c>
      <c r="V13" s="2134"/>
      <c r="W13" s="2134"/>
      <c r="X13" s="2134"/>
      <c r="Y13" s="2134" t="s">
        <v>1250</v>
      </c>
      <c r="Z13" s="2134"/>
      <c r="AA13" s="2134"/>
      <c r="AB13" s="2134"/>
      <c r="AC13" s="2441"/>
      <c r="AD13" s="2441"/>
      <c r="AE13" s="2441"/>
      <c r="AF13" s="2441"/>
      <c r="AG13" s="2441"/>
      <c r="AH13" s="2441"/>
      <c r="AI13" s="2441"/>
      <c r="AJ13" s="2441"/>
      <c r="AK13" s="2441"/>
      <c r="AL13" s="2441"/>
      <c r="AM13" s="2441"/>
      <c r="AN13" s="2441"/>
      <c r="AO13" s="2441"/>
      <c r="AP13" s="2441"/>
      <c r="AQ13" s="2441"/>
      <c r="AR13" s="2441"/>
      <c r="AS13" s="2441"/>
      <c r="AT13" s="2441"/>
      <c r="AU13" s="2441"/>
      <c r="AV13" s="2441"/>
      <c r="AW13" s="2441"/>
      <c r="AX13" s="2441"/>
      <c r="AY13" s="2441"/>
      <c r="AZ13" s="2441"/>
      <c r="BA13" s="2441"/>
      <c r="BB13" s="2441"/>
      <c r="BC13" s="2441"/>
      <c r="BD13" s="2441"/>
      <c r="BE13" s="2441"/>
      <c r="BF13" s="2441"/>
      <c r="BG13" s="2441"/>
      <c r="BH13" s="2441"/>
      <c r="BI13" s="2441"/>
      <c r="BJ13" s="2441"/>
      <c r="BK13" s="2441"/>
      <c r="BL13" s="2441"/>
      <c r="BM13" s="2441"/>
      <c r="BN13" s="2441"/>
      <c r="BO13" s="2441"/>
      <c r="BP13" s="2441"/>
      <c r="BQ13" s="2441"/>
      <c r="BR13" s="2441"/>
      <c r="BS13" s="2460"/>
      <c r="BT13" s="2343" t="s">
        <v>1251</v>
      </c>
      <c r="BU13" s="2395"/>
      <c r="BV13" s="2343" t="s">
        <v>1252</v>
      </c>
      <c r="BW13" s="2395"/>
      <c r="BX13" s="2343" t="s">
        <v>1253</v>
      </c>
      <c r="BY13" s="2395"/>
      <c r="BZ13" s="2343" t="s">
        <v>1254</v>
      </c>
      <c r="CA13" s="2395"/>
      <c r="CB13" s="2343" t="s">
        <v>1255</v>
      </c>
      <c r="CC13" s="2395"/>
      <c r="CD13" s="2343" t="s">
        <v>1256</v>
      </c>
      <c r="CE13" s="2395"/>
      <c r="CF13" s="2343" t="s">
        <v>1257</v>
      </c>
      <c r="CG13" s="2395"/>
      <c r="CH13" s="2393" t="s">
        <v>1258</v>
      </c>
      <c r="CI13" s="2394"/>
      <c r="CJ13" s="2394"/>
      <c r="CK13" s="2440"/>
      <c r="CL13" s="2443"/>
      <c r="CM13" s="2441"/>
      <c r="CN13" s="2441"/>
      <c r="CO13" s="2441"/>
      <c r="CP13" s="2441"/>
      <c r="CQ13" s="2441"/>
      <c r="CR13" s="2441"/>
      <c r="CS13" s="2441"/>
      <c r="CT13" s="2441"/>
      <c r="CU13" s="2441"/>
      <c r="CV13" s="2441"/>
      <c r="CW13" s="2441"/>
      <c r="CX13" s="2460"/>
      <c r="CY13" s="2343" t="s">
        <v>1259</v>
      </c>
      <c r="CZ13" s="2395"/>
      <c r="DA13" s="2343" t="s">
        <v>1260</v>
      </c>
      <c r="DB13" s="2395"/>
      <c r="DC13" s="2343" t="s">
        <v>1261</v>
      </c>
      <c r="DD13" s="2395"/>
      <c r="DE13" s="2343" t="s">
        <v>1262</v>
      </c>
      <c r="DF13" s="2395"/>
      <c r="DG13" s="2393" t="s">
        <v>1263</v>
      </c>
      <c r="DH13" s="2394"/>
      <c r="DI13" s="2394"/>
      <c r="DJ13" s="2440"/>
      <c r="DK13" s="2443"/>
      <c r="DL13" s="2441"/>
      <c r="DM13" s="2441"/>
      <c r="DN13" s="2441"/>
      <c r="DO13" s="2441"/>
      <c r="DP13" s="2441"/>
      <c r="DQ13" s="2441"/>
      <c r="DR13" s="2441"/>
      <c r="DS13" s="2441"/>
      <c r="DT13" s="2441"/>
      <c r="DU13" s="2441"/>
      <c r="DV13" s="2441"/>
      <c r="DW13" s="2441"/>
      <c r="DX13" s="2441"/>
      <c r="DY13" s="2441"/>
      <c r="DZ13" s="2441"/>
      <c r="EA13" s="2441"/>
      <c r="EB13" s="2441"/>
      <c r="EC13" s="2441"/>
      <c r="ED13" s="2441"/>
      <c r="EE13" s="2441"/>
      <c r="EF13" s="2441"/>
      <c r="EG13" s="2441"/>
      <c r="EH13" s="2441"/>
      <c r="EI13" s="2441"/>
      <c r="EJ13" s="2441"/>
      <c r="EK13" s="2441"/>
      <c r="EL13" s="2441"/>
      <c r="EM13" s="2441"/>
      <c r="EN13" s="2441"/>
      <c r="EO13" s="2441"/>
      <c r="EP13" s="2441"/>
      <c r="EQ13" s="2441"/>
      <c r="ER13" s="2441"/>
      <c r="ES13" s="2441"/>
      <c r="ET13" s="2441"/>
      <c r="EU13" s="2441"/>
      <c r="EV13" s="2441"/>
      <c r="EW13" s="2441"/>
      <c r="EX13" s="2441"/>
      <c r="EY13" s="2441"/>
      <c r="EZ13" s="2441"/>
      <c r="FA13" s="2441"/>
      <c r="FB13" s="2441"/>
      <c r="FC13" s="2441"/>
      <c r="FD13" s="2441"/>
      <c r="FE13" s="2441"/>
      <c r="FF13" s="2441"/>
      <c r="FG13" s="2441"/>
      <c r="FH13" s="2441"/>
      <c r="FI13" s="2441"/>
      <c r="FJ13" s="2441"/>
      <c r="FK13" s="2441"/>
      <c r="FL13" s="2441"/>
      <c r="FM13" s="2441"/>
      <c r="FN13" s="2441"/>
      <c r="FO13" s="2441"/>
      <c r="FP13" s="2441"/>
      <c r="FQ13" s="2441"/>
      <c r="FR13" s="2441"/>
      <c r="FS13" s="2441"/>
      <c r="FT13" s="2441"/>
      <c r="FU13" s="2441"/>
      <c r="FV13" s="2441"/>
      <c r="FW13" s="2455"/>
      <c r="FX13" s="769"/>
      <c r="GC13" s="933">
        <v>36</v>
      </c>
    </row>
    <row customHeight="1" ht="37.8">
      <c r="D14" s="945"/>
      <c r="E14" s="944"/>
      <c r="F14" s="2212"/>
      <c r="G14" s="2212"/>
      <c r="H14" s="2444"/>
      <c r="I14" s="2444"/>
      <c r="J14" s="2445"/>
      <c r="K14" s="2445"/>
      <c r="L14" s="2445"/>
      <c r="M14" s="2445"/>
      <c r="N14" s="2445"/>
      <c r="O14" s="2343" t="s">
        <v>1264</v>
      </c>
      <c r="P14" s="2395"/>
      <c r="Q14" s="2343" t="s">
        <v>1265</v>
      </c>
      <c r="R14" s="2395"/>
      <c r="S14" s="2344"/>
      <c r="T14" s="2220"/>
      <c r="U14" s="2343" t="s">
        <v>997</v>
      </c>
      <c r="V14" s="2395"/>
      <c r="W14" s="2343" t="s">
        <v>1000</v>
      </c>
      <c r="X14" s="2395"/>
      <c r="Y14" s="2343" t="s">
        <v>997</v>
      </c>
      <c r="Z14" s="2395"/>
      <c r="AA14" s="2343" t="s">
        <v>1007</v>
      </c>
      <c r="AB14" s="2395"/>
      <c r="AC14" s="2441"/>
      <c r="AD14" s="2441"/>
      <c r="AE14" s="2441"/>
      <c r="AF14" s="2441"/>
      <c r="AG14" s="2441"/>
      <c r="AH14" s="2441"/>
      <c r="AI14" s="2441"/>
      <c r="AJ14" s="2441"/>
      <c r="AK14" s="2441"/>
      <c r="AL14" s="2441"/>
      <c r="AM14" s="2441"/>
      <c r="AN14" s="2441"/>
      <c r="AO14" s="2441"/>
      <c r="AP14" s="2441"/>
      <c r="AQ14" s="2441"/>
      <c r="AR14" s="2441"/>
      <c r="AS14" s="2441"/>
      <c r="AT14" s="2441"/>
      <c r="AU14" s="2441"/>
      <c r="AV14" s="2441"/>
      <c r="AW14" s="2441"/>
      <c r="AX14" s="2441"/>
      <c r="AY14" s="2441"/>
      <c r="AZ14" s="2441"/>
      <c r="BA14" s="2441"/>
      <c r="BB14" s="2441"/>
      <c r="BC14" s="2441"/>
      <c r="BD14" s="2441"/>
      <c r="BE14" s="2441"/>
      <c r="BF14" s="2441"/>
      <c r="BG14" s="2441"/>
      <c r="BH14" s="2441"/>
      <c r="BI14" s="2441"/>
      <c r="BJ14" s="2441"/>
      <c r="BK14" s="2441"/>
      <c r="BL14" s="2441"/>
      <c r="BM14" s="2441"/>
      <c r="BN14" s="2441"/>
      <c r="BO14" s="2441"/>
      <c r="BP14" s="2441"/>
      <c r="BQ14" s="2441"/>
      <c r="BR14" s="2441"/>
      <c r="BS14" s="2460"/>
      <c r="BT14" s="2344"/>
      <c r="BU14" s="2220"/>
      <c r="BV14" s="2344"/>
      <c r="BW14" s="2220"/>
      <c r="BX14" s="2344"/>
      <c r="BY14" s="2220"/>
      <c r="BZ14" s="2344"/>
      <c r="CA14" s="2220"/>
      <c r="CB14" s="2344"/>
      <c r="CC14" s="2220"/>
      <c r="CD14" s="2344"/>
      <c r="CE14" s="2220"/>
      <c r="CF14" s="2344"/>
      <c r="CG14" s="2220"/>
      <c r="CH14" s="2343" t="s">
        <v>1266</v>
      </c>
      <c r="CI14" s="2395"/>
      <c r="CJ14" s="2343" t="s">
        <v>1267</v>
      </c>
      <c r="CK14" s="2395"/>
      <c r="CL14" s="2443"/>
      <c r="CM14" s="2441"/>
      <c r="CN14" s="2441"/>
      <c r="CO14" s="2441"/>
      <c r="CP14" s="2441"/>
      <c r="CQ14" s="2441"/>
      <c r="CR14" s="2441"/>
      <c r="CS14" s="2441"/>
      <c r="CT14" s="2441"/>
      <c r="CU14" s="2441"/>
      <c r="CV14" s="2441"/>
      <c r="CW14" s="2441"/>
      <c r="CX14" s="2460"/>
      <c r="CY14" s="2344"/>
      <c r="CZ14" s="2220"/>
      <c r="DA14" s="2344"/>
      <c r="DB14" s="2220"/>
      <c r="DC14" s="2344"/>
      <c r="DD14" s="2220"/>
      <c r="DE14" s="2344"/>
      <c r="DF14" s="2220"/>
      <c r="DG14" s="2343" t="s">
        <v>1268</v>
      </c>
      <c r="DH14" s="2395"/>
      <c r="DI14" s="2343" t="s">
        <v>1269</v>
      </c>
      <c r="DJ14" s="2395"/>
      <c r="DK14" s="2443"/>
      <c r="DL14" s="2441"/>
      <c r="DM14" s="2441"/>
      <c r="DN14" s="2441"/>
      <c r="DO14" s="2441"/>
      <c r="DP14" s="2441"/>
      <c r="DQ14" s="2441"/>
      <c r="DR14" s="2441"/>
      <c r="DS14" s="2441"/>
      <c r="DT14" s="2441"/>
      <c r="DU14" s="2441"/>
      <c r="DV14" s="2441"/>
      <c r="DW14" s="2441"/>
      <c r="DX14" s="2441"/>
      <c r="DY14" s="2441"/>
      <c r="DZ14" s="2441"/>
      <c r="EA14" s="2441"/>
      <c r="EB14" s="2441"/>
      <c r="EC14" s="2441"/>
      <c r="ED14" s="2441"/>
      <c r="EE14" s="2441"/>
      <c r="EF14" s="2441"/>
      <c r="EG14" s="2441"/>
      <c r="EH14" s="2441"/>
      <c r="EI14" s="2441"/>
      <c r="EJ14" s="2441"/>
      <c r="EK14" s="2441"/>
      <c r="EL14" s="2441"/>
      <c r="EM14" s="2441"/>
      <c r="EN14" s="2441"/>
      <c r="EO14" s="2441"/>
      <c r="EP14" s="2441"/>
      <c r="EQ14" s="2441"/>
      <c r="ER14" s="2441"/>
      <c r="ES14" s="2441"/>
      <c r="ET14" s="2441"/>
      <c r="EU14" s="2441"/>
      <c r="EV14" s="2441"/>
      <c r="EW14" s="2441"/>
      <c r="EX14" s="2441"/>
      <c r="EY14" s="2441"/>
      <c r="EZ14" s="2441"/>
      <c r="FA14" s="2441"/>
      <c r="FB14" s="2441"/>
      <c r="FC14" s="2441"/>
      <c r="FD14" s="2441"/>
      <c r="FE14" s="2441"/>
      <c r="FF14" s="2441"/>
      <c r="FG14" s="2441"/>
      <c r="FH14" s="2441"/>
      <c r="FI14" s="2441"/>
      <c r="FJ14" s="2441"/>
      <c r="FK14" s="2441"/>
      <c r="FL14" s="2441"/>
      <c r="FM14" s="2441"/>
      <c r="FN14" s="2441"/>
      <c r="FO14" s="2441"/>
      <c r="FP14" s="2441"/>
      <c r="FQ14" s="2441"/>
      <c r="FR14" s="2441"/>
      <c r="FS14" s="2441"/>
      <c r="FT14" s="2441"/>
      <c r="FU14" s="2441"/>
      <c r="FV14" s="2441"/>
      <c r="FW14" s="2455"/>
      <c r="FX14" s="769"/>
      <c r="GC14" s="933">
        <v>36</v>
      </c>
    </row>
    <row customHeight="1" ht="37.8">
      <c r="D15" s="945"/>
      <c r="E15" s="944"/>
      <c r="F15" s="2212"/>
      <c r="G15" s="2212"/>
      <c r="H15" s="2444"/>
      <c r="I15" s="2444"/>
      <c r="J15" s="2445"/>
      <c r="K15" s="2445"/>
      <c r="L15" s="2445"/>
      <c r="M15" s="2445"/>
      <c r="N15" s="2445"/>
      <c r="O15" s="2345"/>
      <c r="P15" s="2442"/>
      <c r="Q15" s="2345"/>
      <c r="R15" s="2442"/>
      <c r="S15" s="2345"/>
      <c r="T15" s="2442"/>
      <c r="U15" s="2345"/>
      <c r="V15" s="2442"/>
      <c r="W15" s="2345"/>
      <c r="X15" s="2442"/>
      <c r="Y15" s="2345"/>
      <c r="Z15" s="2442"/>
      <c r="AA15" s="2345"/>
      <c r="AB15" s="2442"/>
      <c r="AC15" s="2441"/>
      <c r="AD15" s="2441"/>
      <c r="AE15" s="2441"/>
      <c r="AF15" s="2441"/>
      <c r="AG15" s="2441"/>
      <c r="AH15" s="2441"/>
      <c r="AI15" s="2441"/>
      <c r="AJ15" s="2441"/>
      <c r="AK15" s="2441"/>
      <c r="AL15" s="2441"/>
      <c r="AM15" s="2441"/>
      <c r="AN15" s="2441"/>
      <c r="AO15" s="2441"/>
      <c r="AP15" s="2441"/>
      <c r="AQ15" s="2441"/>
      <c r="AR15" s="2441"/>
      <c r="AS15" s="2441"/>
      <c r="AT15" s="2441"/>
      <c r="AU15" s="2441"/>
      <c r="AV15" s="2441"/>
      <c r="AW15" s="2441"/>
      <c r="AX15" s="2441"/>
      <c r="AY15" s="2441"/>
      <c r="AZ15" s="2441"/>
      <c r="BA15" s="2441"/>
      <c r="BB15" s="2441"/>
      <c r="BC15" s="2441"/>
      <c r="BD15" s="2441"/>
      <c r="BE15" s="2441"/>
      <c r="BF15" s="2441"/>
      <c r="BG15" s="2441"/>
      <c r="BH15" s="2441"/>
      <c r="BI15" s="2441"/>
      <c r="BJ15" s="2441"/>
      <c r="BK15" s="2441"/>
      <c r="BL15" s="2441"/>
      <c r="BM15" s="2441"/>
      <c r="BN15" s="2441"/>
      <c r="BO15" s="2441"/>
      <c r="BP15" s="2441"/>
      <c r="BQ15" s="2441"/>
      <c r="BR15" s="2441"/>
      <c r="BS15" s="2460"/>
      <c r="BT15" s="2345"/>
      <c r="BU15" s="2442"/>
      <c r="BV15" s="2345"/>
      <c r="BW15" s="2442"/>
      <c r="BX15" s="2345"/>
      <c r="BY15" s="2442"/>
      <c r="BZ15" s="2345"/>
      <c r="CA15" s="2442"/>
      <c r="CB15" s="2345"/>
      <c r="CC15" s="2442"/>
      <c r="CD15" s="2345"/>
      <c r="CE15" s="2442"/>
      <c r="CF15" s="2345"/>
      <c r="CG15" s="2442"/>
      <c r="CH15" s="2345"/>
      <c r="CI15" s="2442"/>
      <c r="CJ15" s="2345"/>
      <c r="CK15" s="2442"/>
      <c r="CL15" s="2443"/>
      <c r="CM15" s="2441"/>
      <c r="CN15" s="2441"/>
      <c r="CO15" s="2441"/>
      <c r="CP15" s="2441"/>
      <c r="CQ15" s="2441"/>
      <c r="CR15" s="2441"/>
      <c r="CS15" s="2441"/>
      <c r="CT15" s="2441"/>
      <c r="CU15" s="2441"/>
      <c r="CV15" s="2441"/>
      <c r="CW15" s="2441"/>
      <c r="CX15" s="2460"/>
      <c r="CY15" s="2345"/>
      <c r="CZ15" s="2442"/>
      <c r="DA15" s="2345"/>
      <c r="DB15" s="2442"/>
      <c r="DC15" s="2345"/>
      <c r="DD15" s="2442"/>
      <c r="DE15" s="2345"/>
      <c r="DF15" s="2442"/>
      <c r="DG15" s="2345"/>
      <c r="DH15" s="2442"/>
      <c r="DI15" s="2345"/>
      <c r="DJ15" s="2442"/>
      <c r="DK15" s="2443"/>
      <c r="DL15" s="2441"/>
      <c r="DM15" s="2441"/>
      <c r="DN15" s="2441"/>
      <c r="DO15" s="2441"/>
      <c r="DP15" s="2441"/>
      <c r="DQ15" s="2441"/>
      <c r="DR15" s="2441"/>
      <c r="DS15" s="2441"/>
      <c r="DT15" s="2441"/>
      <c r="DU15" s="2441"/>
      <c r="DV15" s="2441"/>
      <c r="DW15" s="2441"/>
      <c r="DX15" s="2441"/>
      <c r="DY15" s="2441"/>
      <c r="DZ15" s="2441"/>
      <c r="EA15" s="2441"/>
      <c r="EB15" s="2441"/>
      <c r="EC15" s="2441"/>
      <c r="ED15" s="2441"/>
      <c r="EE15" s="2441"/>
      <c r="EF15" s="2441"/>
      <c r="EG15" s="2441"/>
      <c r="EH15" s="2441"/>
      <c r="EI15" s="2441"/>
      <c r="EJ15" s="2441"/>
      <c r="EK15" s="2441"/>
      <c r="EL15" s="2441"/>
      <c r="EM15" s="2441"/>
      <c r="EN15" s="2441"/>
      <c r="EO15" s="2441"/>
      <c r="EP15" s="2441"/>
      <c r="EQ15" s="2441"/>
      <c r="ER15" s="2441"/>
      <c r="ES15" s="2441"/>
      <c r="ET15" s="2441"/>
      <c r="EU15" s="2441"/>
      <c r="EV15" s="2441"/>
      <c r="EW15" s="2441"/>
      <c r="EX15" s="2441"/>
      <c r="EY15" s="2441"/>
      <c r="EZ15" s="2441"/>
      <c r="FA15" s="2441"/>
      <c r="FB15" s="2441"/>
      <c r="FC15" s="2441"/>
      <c r="FD15" s="2441"/>
      <c r="FE15" s="2441"/>
      <c r="FF15" s="2441"/>
      <c r="FG15" s="2441"/>
      <c r="FH15" s="2441"/>
      <c r="FI15" s="2441"/>
      <c r="FJ15" s="2441"/>
      <c r="FK15" s="2441"/>
      <c r="FL15" s="2441"/>
      <c r="FM15" s="2441"/>
      <c r="FN15" s="2441"/>
      <c r="FO15" s="2441"/>
      <c r="FP15" s="2441"/>
      <c r="FQ15" s="2441"/>
      <c r="FR15" s="2441"/>
      <c r="FS15" s="2441"/>
      <c r="FT15" s="2441"/>
      <c r="FU15" s="2441"/>
      <c r="FV15" s="2441"/>
      <c r="FW15" s="2455"/>
      <c r="FX15" s="769"/>
      <c r="GC15" s="933">
        <v>36</v>
      </c>
    </row>
    <row customHeight="1" ht="12.75">
      <c r="D16" s="945"/>
      <c r="E16" s="944"/>
      <c r="F16" s="2212"/>
      <c r="G16" s="2212"/>
      <c r="H16" s="2444"/>
      <c r="I16" s="2444"/>
      <c r="J16" s="2445"/>
      <c r="K16" s="2445"/>
      <c r="L16" s="2445"/>
      <c r="M16" s="2445"/>
      <c r="N16" s="2445"/>
      <c r="O16" s="2393" t="s">
        <v>987</v>
      </c>
      <c r="P16" s="2440"/>
      <c r="Q16" s="2393" t="s">
        <v>989</v>
      </c>
      <c r="R16" s="2440"/>
      <c r="S16" s="2393" t="s">
        <v>993</v>
      </c>
      <c r="T16" s="2440"/>
      <c r="U16" s="2393" t="s">
        <v>998</v>
      </c>
      <c r="V16" s="2440"/>
      <c r="W16" s="2393" t="s">
        <v>1001</v>
      </c>
      <c r="X16" s="2440"/>
      <c r="Y16" s="2393" t="s">
        <v>1005</v>
      </c>
      <c r="Z16" s="2440"/>
      <c r="AA16" s="2393" t="s">
        <v>1008</v>
      </c>
      <c r="AB16" s="2440"/>
      <c r="AC16" s="2441"/>
      <c r="AD16" s="2441"/>
      <c r="AE16" s="2441"/>
      <c r="AF16" s="2441"/>
      <c r="AG16" s="2441"/>
      <c r="AH16" s="2441"/>
      <c r="AI16" s="2441"/>
      <c r="AJ16" s="2441"/>
      <c r="AK16" s="2441"/>
      <c r="AL16" s="2441"/>
      <c r="AM16" s="2441"/>
      <c r="AN16" s="2441"/>
      <c r="AO16" s="2441"/>
      <c r="AP16" s="2441"/>
      <c r="AQ16" s="2441"/>
      <c r="AR16" s="2441"/>
      <c r="AS16" s="2441"/>
      <c r="AT16" s="2441"/>
      <c r="AU16" s="2441"/>
      <c r="AV16" s="2441"/>
      <c r="AW16" s="2441"/>
      <c r="AX16" s="2441"/>
      <c r="AY16" s="2441"/>
      <c r="AZ16" s="2441"/>
      <c r="BA16" s="2441"/>
      <c r="BB16" s="2441"/>
      <c r="BC16" s="2441"/>
      <c r="BD16" s="2441"/>
      <c r="BE16" s="2441"/>
      <c r="BF16" s="2441"/>
      <c r="BG16" s="2441"/>
      <c r="BH16" s="2441"/>
      <c r="BI16" s="2441"/>
      <c r="BJ16" s="2441"/>
      <c r="BK16" s="2441"/>
      <c r="BL16" s="2441"/>
      <c r="BM16" s="2441"/>
      <c r="BN16" s="2441"/>
      <c r="BO16" s="2441"/>
      <c r="BP16" s="2441"/>
      <c r="BQ16" s="2441"/>
      <c r="BR16" s="2441"/>
      <c r="BS16" s="2460"/>
      <c r="BT16" s="2393" t="s">
        <v>720</v>
      </c>
      <c r="BU16" s="2440"/>
      <c r="BV16" s="2393" t="s">
        <v>720</v>
      </c>
      <c r="BW16" s="2440"/>
      <c r="BX16" s="2393" t="s">
        <v>720</v>
      </c>
      <c r="BY16" s="2440"/>
      <c r="BZ16" s="2393" t="s">
        <v>720</v>
      </c>
      <c r="CA16" s="2440"/>
      <c r="CB16" s="2393" t="s">
        <v>1270</v>
      </c>
      <c r="CC16" s="2440"/>
      <c r="CD16" s="2393" t="s">
        <v>720</v>
      </c>
      <c r="CE16" s="2440"/>
      <c r="CF16" s="2393" t="s">
        <v>1271</v>
      </c>
      <c r="CG16" s="2440"/>
      <c r="CH16" s="2393" t="s">
        <v>1272</v>
      </c>
      <c r="CI16" s="2440"/>
      <c r="CJ16" s="2393" t="s">
        <v>1272</v>
      </c>
      <c r="CK16" s="2440"/>
      <c r="CL16" s="2443"/>
      <c r="CM16" s="2441"/>
      <c r="CN16" s="2441"/>
      <c r="CO16" s="2441"/>
      <c r="CP16" s="2441"/>
      <c r="CQ16" s="2441"/>
      <c r="CR16" s="2441"/>
      <c r="CS16" s="2441"/>
      <c r="CT16" s="2441"/>
      <c r="CU16" s="2441"/>
      <c r="CV16" s="2441"/>
      <c r="CW16" s="2441"/>
      <c r="CX16" s="2460"/>
      <c r="CY16" s="2343" t="s">
        <v>720</v>
      </c>
      <c r="CZ16" s="2395"/>
      <c r="DA16" s="2343" t="s">
        <v>720</v>
      </c>
      <c r="DB16" s="2395"/>
      <c r="DC16" s="2343" t="s">
        <v>720</v>
      </c>
      <c r="DD16" s="2395"/>
      <c r="DE16" s="2393" t="s">
        <v>1270</v>
      </c>
      <c r="DF16" s="2440"/>
      <c r="DG16" s="2393" t="s">
        <v>1273</v>
      </c>
      <c r="DH16" s="2440"/>
      <c r="DI16" s="2393" t="s">
        <v>1273</v>
      </c>
      <c r="DJ16" s="2440"/>
      <c r="DK16" s="2443"/>
      <c r="DL16" s="2441"/>
      <c r="DM16" s="2441"/>
      <c r="DN16" s="2441"/>
      <c r="DO16" s="2441"/>
      <c r="DP16" s="2441"/>
      <c r="DQ16" s="2441"/>
      <c r="DR16" s="2441"/>
      <c r="DS16" s="2441"/>
      <c r="DT16" s="2441"/>
      <c r="DU16" s="2441"/>
      <c r="DV16" s="2441"/>
      <c r="DW16" s="2441"/>
      <c r="DX16" s="2441"/>
      <c r="DY16" s="2441"/>
      <c r="DZ16" s="2441"/>
      <c r="EA16" s="2441"/>
      <c r="EB16" s="2441"/>
      <c r="EC16" s="2441"/>
      <c r="ED16" s="2441"/>
      <c r="EE16" s="2441"/>
      <c r="EF16" s="2441"/>
      <c r="EG16" s="2441"/>
      <c r="EH16" s="2441"/>
      <c r="EI16" s="2441"/>
      <c r="EJ16" s="2441"/>
      <c r="EK16" s="2441"/>
      <c r="EL16" s="2441"/>
      <c r="EM16" s="2441"/>
      <c r="EN16" s="2441"/>
      <c r="EO16" s="2441"/>
      <c r="EP16" s="2441"/>
      <c r="EQ16" s="2441"/>
      <c r="ER16" s="2441"/>
      <c r="ES16" s="2441"/>
      <c r="ET16" s="2441"/>
      <c r="EU16" s="2441"/>
      <c r="EV16" s="2441"/>
      <c r="EW16" s="2441"/>
      <c r="EX16" s="2441"/>
      <c r="EY16" s="2441"/>
      <c r="EZ16" s="2441"/>
      <c r="FA16" s="2441"/>
      <c r="FB16" s="2441"/>
      <c r="FC16" s="2441"/>
      <c r="FD16" s="2441"/>
      <c r="FE16" s="2441"/>
      <c r="FF16" s="2441"/>
      <c r="FG16" s="2441"/>
      <c r="FH16" s="2441"/>
      <c r="FI16" s="2441"/>
      <c r="FJ16" s="2441"/>
      <c r="FK16" s="2441"/>
      <c r="FL16" s="2441"/>
      <c r="FM16" s="2441"/>
      <c r="FN16" s="2441"/>
      <c r="FO16" s="2441"/>
      <c r="FP16" s="2441"/>
      <c r="FQ16" s="2441"/>
      <c r="FR16" s="2441"/>
      <c r="FS16" s="2441"/>
      <c r="FT16" s="2441"/>
      <c r="FU16" s="2441"/>
      <c r="FV16" s="2441"/>
      <c r="FW16" s="2455"/>
      <c r="FX16" s="769"/>
      <c r="GC16" s="933">
        <v>12</v>
      </c>
    </row>
    <row customHeight="1" ht="15.75">
      <c r="E17" s="944"/>
      <c r="F17" s="2212"/>
      <c r="G17" s="2212"/>
      <c r="H17" s="2444"/>
      <c r="I17" s="2444"/>
      <c r="J17" s="2445"/>
      <c r="K17" s="2445"/>
      <c r="L17" s="2445"/>
      <c r="M17" s="2445"/>
      <c r="N17" s="2445"/>
      <c r="O17" s="1198" t="s">
        <v>1274</v>
      </c>
      <c r="P17" s="1198" t="s">
        <v>1275</v>
      </c>
      <c r="Q17" s="1198" t="s">
        <v>1274</v>
      </c>
      <c r="R17" s="1198" t="s">
        <v>1275</v>
      </c>
      <c r="S17" s="1198" t="s">
        <v>1274</v>
      </c>
      <c r="T17" s="1198" t="s">
        <v>1275</v>
      </c>
      <c r="U17" s="1198" t="s">
        <v>1274</v>
      </c>
      <c r="V17" s="1198" t="s">
        <v>1275</v>
      </c>
      <c r="W17" s="1198" t="s">
        <v>1274</v>
      </c>
      <c r="X17" s="1198" t="s">
        <v>1275</v>
      </c>
      <c r="Y17" s="1198" t="s">
        <v>1274</v>
      </c>
      <c r="Z17" s="1198" t="s">
        <v>1275</v>
      </c>
      <c r="AA17" s="1198" t="s">
        <v>1274</v>
      </c>
      <c r="AB17" s="1198" t="s">
        <v>1275</v>
      </c>
      <c r="AC17" s="2441"/>
      <c r="AD17" s="2441"/>
      <c r="AE17" s="2441"/>
      <c r="AF17" s="2441"/>
      <c r="AG17" s="2441"/>
      <c r="AH17" s="2441"/>
      <c r="AI17" s="2441"/>
      <c r="AJ17" s="2441"/>
      <c r="AK17" s="2441"/>
      <c r="AL17" s="2441"/>
      <c r="AM17" s="2441"/>
      <c r="AN17" s="2441"/>
      <c r="AO17" s="2441"/>
      <c r="AP17" s="2441"/>
      <c r="AQ17" s="2441"/>
      <c r="AR17" s="2441"/>
      <c r="AS17" s="2441"/>
      <c r="AT17" s="2441"/>
      <c r="AU17" s="2441"/>
      <c r="AV17" s="2441"/>
      <c r="AW17" s="2441"/>
      <c r="AX17" s="2441"/>
      <c r="AY17" s="2441"/>
      <c r="AZ17" s="2441"/>
      <c r="BA17" s="2441"/>
      <c r="BB17" s="2441"/>
      <c r="BC17" s="2441"/>
      <c r="BD17" s="2441"/>
      <c r="BE17" s="2441"/>
      <c r="BF17" s="2441"/>
      <c r="BG17" s="2441"/>
      <c r="BH17" s="2441"/>
      <c r="BI17" s="2441"/>
      <c r="BJ17" s="2441"/>
      <c r="BK17" s="2441"/>
      <c r="BL17" s="2441"/>
      <c r="BM17" s="2441"/>
      <c r="BN17" s="2441"/>
      <c r="BO17" s="2441"/>
      <c r="BP17" s="2441"/>
      <c r="BQ17" s="2441"/>
      <c r="BR17" s="2441"/>
      <c r="BS17" s="2460"/>
      <c r="BT17" s="1198" t="s">
        <v>1274</v>
      </c>
      <c r="BU17" s="1198" t="s">
        <v>1275</v>
      </c>
      <c r="BV17" s="1198" t="s">
        <v>1274</v>
      </c>
      <c r="BW17" s="1198" t="s">
        <v>1275</v>
      </c>
      <c r="BX17" s="1198" t="s">
        <v>1274</v>
      </c>
      <c r="BY17" s="1198" t="s">
        <v>1275</v>
      </c>
      <c r="BZ17" s="1198" t="s">
        <v>1274</v>
      </c>
      <c r="CA17" s="1198" t="s">
        <v>1275</v>
      </c>
      <c r="CB17" s="1198" t="s">
        <v>1274</v>
      </c>
      <c r="CC17" s="1198" t="s">
        <v>1275</v>
      </c>
      <c r="CD17" s="1198" t="s">
        <v>1274</v>
      </c>
      <c r="CE17" s="1198" t="s">
        <v>1275</v>
      </c>
      <c r="CF17" s="1198" t="s">
        <v>1274</v>
      </c>
      <c r="CG17" s="1198" t="s">
        <v>1275</v>
      </c>
      <c r="CH17" s="1198" t="s">
        <v>1274</v>
      </c>
      <c r="CI17" s="1198" t="s">
        <v>1275</v>
      </c>
      <c r="CJ17" s="1198" t="s">
        <v>1274</v>
      </c>
      <c r="CK17" s="1198" t="s">
        <v>1275</v>
      </c>
      <c r="CL17" s="2443"/>
      <c r="CM17" s="2441"/>
      <c r="CN17" s="2441"/>
      <c r="CO17" s="2441"/>
      <c r="CP17" s="2441"/>
      <c r="CQ17" s="2441"/>
      <c r="CR17" s="2441"/>
      <c r="CS17" s="2441"/>
      <c r="CT17" s="2441"/>
      <c r="CU17" s="2441"/>
      <c r="CV17" s="2441"/>
      <c r="CW17" s="2441"/>
      <c r="CX17" s="2460"/>
      <c r="CY17" s="1198" t="s">
        <v>1274</v>
      </c>
      <c r="CZ17" s="1198" t="s">
        <v>1275</v>
      </c>
      <c r="DA17" s="1198" t="s">
        <v>1274</v>
      </c>
      <c r="DB17" s="1198" t="s">
        <v>1275</v>
      </c>
      <c r="DC17" s="1198" t="s">
        <v>1274</v>
      </c>
      <c r="DD17" s="1198" t="s">
        <v>1275</v>
      </c>
      <c r="DE17" s="1198" t="s">
        <v>1274</v>
      </c>
      <c r="DF17" s="1198" t="s">
        <v>1275</v>
      </c>
      <c r="DG17" s="1198" t="s">
        <v>1274</v>
      </c>
      <c r="DH17" s="1198" t="s">
        <v>1275</v>
      </c>
      <c r="DI17" s="1198" t="s">
        <v>1274</v>
      </c>
      <c r="DJ17" s="1198" t="s">
        <v>1275</v>
      </c>
      <c r="DK17" s="2443"/>
      <c r="DL17" s="2441"/>
      <c r="DM17" s="2441"/>
      <c r="DN17" s="2441"/>
      <c r="DO17" s="2441"/>
      <c r="DP17" s="2441"/>
      <c r="DQ17" s="2441"/>
      <c r="DR17" s="2441"/>
      <c r="DS17" s="2441"/>
      <c r="DT17" s="2441"/>
      <c r="DU17" s="2441"/>
      <c r="DV17" s="2441"/>
      <c r="DW17" s="2441"/>
      <c r="DX17" s="2441"/>
      <c r="DY17" s="2441"/>
      <c r="DZ17" s="2441"/>
      <c r="EA17" s="2441"/>
      <c r="EB17" s="2441"/>
      <c r="EC17" s="2441"/>
      <c r="ED17" s="2441"/>
      <c r="EE17" s="2441"/>
      <c r="EF17" s="2441"/>
      <c r="EG17" s="2441"/>
      <c r="EH17" s="2441"/>
      <c r="EI17" s="2441"/>
      <c r="EJ17" s="2441"/>
      <c r="EK17" s="2441"/>
      <c r="EL17" s="2441"/>
      <c r="EM17" s="2441"/>
      <c r="EN17" s="2441"/>
      <c r="EO17" s="2441"/>
      <c r="EP17" s="2441"/>
      <c r="EQ17" s="2441"/>
      <c r="ER17" s="2441"/>
      <c r="ES17" s="2441"/>
      <c r="ET17" s="2441"/>
      <c r="EU17" s="2441"/>
      <c r="EV17" s="2441"/>
      <c r="EW17" s="2441"/>
      <c r="EX17" s="2441"/>
      <c r="EY17" s="2441"/>
      <c r="EZ17" s="2441"/>
      <c r="FA17" s="2441"/>
      <c r="FB17" s="2441"/>
      <c r="FC17" s="2441"/>
      <c r="FD17" s="2441"/>
      <c r="FE17" s="2441"/>
      <c r="FF17" s="2441"/>
      <c r="FG17" s="2441"/>
      <c r="FH17" s="2441"/>
      <c r="FI17" s="2441"/>
      <c r="FJ17" s="2441"/>
      <c r="FK17" s="2441"/>
      <c r="FL17" s="2441"/>
      <c r="FM17" s="2441"/>
      <c r="FN17" s="2441"/>
      <c r="FO17" s="2441"/>
      <c r="FP17" s="2441"/>
      <c r="FQ17" s="2441"/>
      <c r="FR17" s="2441"/>
      <c r="FS17" s="2441"/>
      <c r="FT17" s="2441"/>
      <c r="FU17" s="2441"/>
      <c r="FV17" s="2441"/>
      <c r="FW17" s="2456"/>
      <c r="FX17" s="769"/>
      <c r="GC17" s="933">
        <v>15</v>
      </c>
    </row>
    <row s="932" customFormat="1" customHeight="1" ht="12" hidden="1">
      <c r="B18" s="930"/>
      <c r="E18" s="946"/>
      <c r="F18" s="1199"/>
      <c r="G18" s="1199"/>
      <c r="H18" s="1199"/>
      <c r="I18" s="1199"/>
      <c r="J18" s="1200"/>
      <c r="K18" s="1200"/>
      <c r="L18" s="1200"/>
      <c r="M18" s="1200"/>
      <c r="N18" s="1200"/>
      <c r="O18" s="1199"/>
      <c r="P18" s="1199"/>
      <c r="Q18" s="1199"/>
      <c r="R18" s="1199"/>
      <c r="S18" s="1199"/>
      <c r="T18" s="1199"/>
      <c r="U18" s="1201"/>
      <c r="V18" s="1201"/>
      <c r="W18" s="1201"/>
      <c r="X18" s="1201"/>
      <c r="Y18" s="1201"/>
      <c r="Z18" s="1201"/>
      <c r="AA18" s="1201"/>
      <c r="AB18" s="1199"/>
      <c r="AC18" s="1200"/>
      <c r="AD18" s="1200"/>
      <c r="AE18" s="1200"/>
      <c r="AF18" s="1200"/>
      <c r="AG18" s="1200"/>
      <c r="AH18" s="1200"/>
      <c r="AI18" s="1200"/>
      <c r="AJ18" s="1200"/>
      <c r="AK18" s="1200"/>
      <c r="AL18" s="1200"/>
      <c r="AM18" s="1200"/>
      <c r="AN18" s="1200"/>
      <c r="AO18" s="1200"/>
      <c r="AP18" s="1200"/>
      <c r="AQ18" s="1200"/>
      <c r="AR18" s="1200"/>
      <c r="AS18" s="1200"/>
      <c r="AT18" s="1200"/>
      <c r="AU18" s="1200"/>
      <c r="AV18" s="1200"/>
      <c r="AW18" s="1200"/>
      <c r="AX18" s="1200"/>
      <c r="AY18" s="1200"/>
      <c r="AZ18" s="1200"/>
      <c r="BA18" s="1200"/>
      <c r="BB18" s="1200"/>
      <c r="BC18" s="1200"/>
      <c r="BD18" s="1200"/>
      <c r="BE18" s="1200"/>
      <c r="BF18" s="1200"/>
      <c r="BG18" s="1200"/>
      <c r="BH18" s="1200"/>
      <c r="BI18" s="1200"/>
      <c r="BJ18" s="1200"/>
      <c r="BK18" s="1200"/>
      <c r="BL18" s="1200"/>
      <c r="BM18" s="1200"/>
      <c r="BN18" s="1200"/>
      <c r="BO18" s="1200"/>
      <c r="BP18" s="1200"/>
      <c r="BQ18" s="1200"/>
      <c r="BR18" s="1200"/>
      <c r="BS18" s="1200"/>
      <c r="BT18" s="1202"/>
      <c r="BU18" s="1202"/>
      <c r="BV18" s="1202"/>
      <c r="BW18" s="1202"/>
      <c r="BX18" s="1202"/>
      <c r="BY18" s="1202"/>
      <c r="BZ18" s="1202"/>
      <c r="CA18" s="1202"/>
      <c r="CB18" s="1202"/>
      <c r="CC18" s="1202"/>
      <c r="CD18" s="1202"/>
      <c r="CE18" s="1202"/>
      <c r="CF18" s="1202"/>
      <c r="CG18" s="1202"/>
      <c r="CH18" s="1202"/>
      <c r="CI18" s="1202"/>
      <c r="CJ18" s="1202"/>
      <c r="CK18" s="1202"/>
      <c r="CL18" s="1200"/>
      <c r="CM18" s="1200"/>
      <c r="CN18" s="1200"/>
      <c r="CO18" s="1200"/>
      <c r="CP18" s="1200"/>
      <c r="CQ18" s="1200"/>
      <c r="CR18" s="1200"/>
      <c r="CS18" s="1200"/>
      <c r="CT18" s="1200"/>
      <c r="CU18" s="1200"/>
      <c r="CV18" s="1200"/>
      <c r="CW18" s="1200"/>
      <c r="CX18" s="1200"/>
      <c r="CY18" s="1202"/>
      <c r="CZ18" s="1202"/>
      <c r="DA18" s="1202"/>
      <c r="DB18" s="1202"/>
      <c r="DC18" s="1202"/>
      <c r="DD18" s="1202"/>
      <c r="DE18" s="1202"/>
      <c r="DF18" s="1202"/>
      <c r="DG18" s="1202"/>
      <c r="DH18" s="1202"/>
      <c r="DI18" s="1202"/>
      <c r="DJ18" s="1202"/>
      <c r="DK18" s="1200"/>
      <c r="DL18" s="1200"/>
      <c r="DM18" s="1200"/>
      <c r="DN18" s="1200"/>
      <c r="DO18" s="1200"/>
      <c r="DP18" s="1200"/>
      <c r="DQ18" s="1200"/>
      <c r="DR18" s="1200"/>
      <c r="DS18" s="1200"/>
      <c r="DT18" s="1200"/>
      <c r="DU18" s="1200"/>
      <c r="DV18" s="1200"/>
      <c r="DW18" s="1200"/>
      <c r="DX18" s="1200"/>
      <c r="DY18" s="1200"/>
      <c r="DZ18" s="1200"/>
      <c r="EA18" s="1200"/>
      <c r="EB18" s="1200"/>
      <c r="EC18" s="1200"/>
      <c r="ED18" s="1200"/>
      <c r="EE18" s="1200"/>
      <c r="EF18" s="1200"/>
      <c r="EG18" s="1200"/>
      <c r="EH18" s="1200"/>
      <c r="EI18" s="1200"/>
      <c r="EJ18" s="1200"/>
      <c r="EK18" s="1200"/>
      <c r="EL18" s="1200"/>
      <c r="EM18" s="1200"/>
      <c r="EN18" s="1200"/>
      <c r="EO18" s="1200"/>
      <c r="EP18" s="1200"/>
      <c r="EQ18" s="1200"/>
      <c r="ER18" s="1200"/>
      <c r="ES18" s="1200"/>
      <c r="ET18" s="1200"/>
      <c r="EU18" s="1200"/>
      <c r="EV18" s="1200"/>
      <c r="EW18" s="1200"/>
      <c r="EX18" s="1200"/>
      <c r="EY18" s="1200"/>
      <c r="EZ18" s="1200"/>
      <c r="FA18" s="1200"/>
      <c r="FB18" s="1200"/>
      <c r="FC18" s="1200"/>
      <c r="FD18" s="1200"/>
      <c r="FE18" s="1200"/>
      <c r="FF18" s="1200"/>
      <c r="FG18" s="1200"/>
      <c r="FH18" s="1200"/>
      <c r="FI18" s="1200"/>
      <c r="FJ18" s="1200"/>
      <c r="FK18" s="1200"/>
      <c r="FL18" s="1200"/>
      <c r="FM18" s="1200"/>
      <c r="FN18" s="1200"/>
      <c r="FO18" s="1200"/>
      <c r="FP18" s="1200"/>
      <c r="FQ18" s="1200"/>
      <c r="FR18" s="1200"/>
      <c r="FS18" s="1200"/>
      <c r="FT18" s="1200"/>
      <c r="FU18" s="1200"/>
      <c r="FV18" s="1200"/>
      <c r="FW18" s="1199"/>
      <c r="FX18" s="1203"/>
      <c r="GC18" s="931">
        <v>0</v>
      </c>
    </row>
    <row s="932" customFormat="1" customHeight="1" ht="11.25" hidden="1">
      <c r="B19" s="930"/>
      <c r="E19" s="946"/>
      <c r="F19" s="1199"/>
      <c r="G19" s="1199"/>
      <c r="H19" s="1199"/>
      <c r="I19" s="1199"/>
      <c r="J19" s="1199"/>
      <c r="K19" s="1199"/>
      <c r="L19" s="1199"/>
      <c r="M19" s="1199"/>
      <c r="N19" s="1199"/>
      <c r="O19" s="1199"/>
      <c r="P19" s="1199"/>
      <c r="Q19" s="1199"/>
      <c r="R19" s="1199"/>
      <c r="S19" s="1199"/>
      <c r="T19" s="1199"/>
      <c r="U19" s="1201"/>
      <c r="V19" s="1201"/>
      <c r="W19" s="1201"/>
      <c r="X19" s="1201"/>
      <c r="Y19" s="1201"/>
      <c r="Z19" s="1201"/>
      <c r="AA19" s="1201"/>
      <c r="AB19" s="1199"/>
      <c r="AC19" s="1199"/>
      <c r="AD19" s="1199"/>
      <c r="AE19" s="1199"/>
      <c r="AF19" s="1199"/>
      <c r="AG19" s="1199"/>
      <c r="AH19" s="1199"/>
      <c r="AI19" s="1199"/>
      <c r="AJ19" s="1199"/>
      <c r="AK19" s="1199"/>
      <c r="AL19" s="1199"/>
      <c r="AM19" s="1199"/>
      <c r="AN19" s="1199"/>
      <c r="AO19" s="1199"/>
      <c r="AP19" s="1199"/>
      <c r="AQ19" s="1199"/>
      <c r="AR19" s="1199"/>
      <c r="AS19" s="1199"/>
      <c r="AT19" s="1199"/>
      <c r="AU19" s="1199"/>
      <c r="AV19" s="1199"/>
      <c r="AW19" s="1199"/>
      <c r="AX19" s="1199"/>
      <c r="AY19" s="1199"/>
      <c r="AZ19" s="1199"/>
      <c r="BA19" s="1199"/>
      <c r="BB19" s="1199"/>
      <c r="BC19" s="1199"/>
      <c r="BD19" s="1199"/>
      <c r="BE19" s="1199"/>
      <c r="BF19" s="1199"/>
      <c r="BG19" s="1199"/>
      <c r="BH19" s="1199"/>
      <c r="BI19" s="1199"/>
      <c r="BJ19" s="1199"/>
      <c r="BK19" s="1199"/>
      <c r="BL19" s="1199"/>
      <c r="BM19" s="1199"/>
      <c r="BN19" s="1199"/>
      <c r="BO19" s="1199"/>
      <c r="BP19" s="1199"/>
      <c r="BQ19" s="1199"/>
      <c r="BR19" s="1199"/>
      <c r="BS19" s="1199"/>
      <c r="BT19" s="1199"/>
      <c r="BU19" s="1199"/>
      <c r="BV19" s="1199"/>
      <c r="BW19" s="1199"/>
      <c r="BX19" s="1199"/>
      <c r="BY19" s="1199"/>
      <c r="BZ19" s="1199"/>
      <c r="CA19" s="1199"/>
      <c r="CB19" s="1199"/>
      <c r="CC19" s="1199"/>
      <c r="CD19" s="1199"/>
      <c r="CE19" s="1199"/>
      <c r="CF19" s="1199"/>
      <c r="CG19" s="1199"/>
      <c r="CH19" s="1199"/>
      <c r="CI19" s="1199"/>
      <c r="CJ19" s="1199"/>
      <c r="CK19" s="1199"/>
      <c r="CL19" s="1199"/>
      <c r="CM19" s="1199"/>
      <c r="CN19" s="1199"/>
      <c r="CO19" s="1199"/>
      <c r="CP19" s="1199"/>
      <c r="CQ19" s="1199"/>
      <c r="CR19" s="1199"/>
      <c r="CS19" s="1199"/>
      <c r="CT19" s="1199"/>
      <c r="CU19" s="1199"/>
      <c r="CV19" s="1199"/>
      <c r="CW19" s="1199"/>
      <c r="CX19" s="1199"/>
      <c r="CY19" s="1199"/>
      <c r="CZ19" s="1199"/>
      <c r="DA19" s="1199"/>
      <c r="DB19" s="1199"/>
      <c r="DC19" s="1199"/>
      <c r="DD19" s="1199"/>
      <c r="DE19" s="1199"/>
      <c r="DF19" s="1199"/>
      <c r="DG19" s="1199"/>
      <c r="DH19" s="1199"/>
      <c r="DI19" s="1199"/>
      <c r="DJ19" s="1199"/>
      <c r="DK19" s="1199"/>
      <c r="DL19" s="1199"/>
      <c r="DM19" s="1199"/>
      <c r="DN19" s="1199"/>
      <c r="DO19" s="1199"/>
      <c r="DP19" s="1199"/>
      <c r="DQ19" s="1199"/>
      <c r="DR19" s="1199"/>
      <c r="DS19" s="1199"/>
      <c r="DT19" s="1199"/>
      <c r="DU19" s="1199"/>
      <c r="DV19" s="1199"/>
      <c r="DW19" s="1199"/>
      <c r="DX19" s="1199"/>
      <c r="DY19" s="1199"/>
      <c r="DZ19" s="1199"/>
      <c r="EA19" s="1199"/>
      <c r="EB19" s="1199"/>
      <c r="EC19" s="1199"/>
      <c r="ED19" s="1199"/>
      <c r="EE19" s="1199"/>
      <c r="EF19" s="1199"/>
      <c r="EG19" s="1199"/>
      <c r="EH19" s="1199"/>
      <c r="EI19" s="1199"/>
      <c r="EJ19" s="1199"/>
      <c r="EK19" s="1199"/>
      <c r="EL19" s="1199"/>
      <c r="EM19" s="1199"/>
      <c r="EN19" s="1199"/>
      <c r="EO19" s="1199"/>
      <c r="EP19" s="1199"/>
      <c r="EQ19" s="1199"/>
      <c r="ER19" s="1199"/>
      <c r="ES19" s="1199"/>
      <c r="ET19" s="1199"/>
      <c r="EU19" s="1199"/>
      <c r="EV19" s="1199"/>
      <c r="EW19" s="1199"/>
      <c r="EX19" s="1199"/>
      <c r="EY19" s="1199"/>
      <c r="EZ19" s="1199"/>
      <c r="FA19" s="1199"/>
      <c r="FB19" s="1199"/>
      <c r="FC19" s="1199"/>
      <c r="FD19" s="1199"/>
      <c r="FE19" s="1199"/>
      <c r="FF19" s="1199"/>
      <c r="FG19" s="1199"/>
      <c r="FH19" s="1199"/>
      <c r="FI19" s="1199"/>
      <c r="FJ19" s="1199"/>
      <c r="FK19" s="1199"/>
      <c r="FL19" s="1199"/>
      <c r="FM19" s="1199"/>
      <c r="FN19" s="1199"/>
      <c r="FO19" s="1199"/>
      <c r="FP19" s="1199"/>
      <c r="FQ19" s="1199"/>
      <c r="FR19" s="1199"/>
      <c r="FS19" s="1199"/>
      <c r="FT19" s="1199"/>
      <c r="FU19" s="1199"/>
      <c r="FV19" s="1199"/>
      <c r="FW19" s="1199"/>
      <c r="FX19" s="1203"/>
      <c r="GC19" s="931">
        <v>0</v>
      </c>
    </row>
    <row s="932" customFormat="1" customHeight="1" ht="11.25" hidden="1">
      <c r="B20" s="947"/>
      <c r="D20" s="931"/>
      <c r="E20" s="946"/>
      <c r="F20" s="1204" t="s">
        <v>539</v>
      </c>
      <c r="G20" s="1205"/>
      <c r="H20" s="1206"/>
      <c r="I20" s="1206"/>
      <c r="J20" s="1206"/>
      <c r="K20" s="1206"/>
      <c r="L20" s="1206"/>
      <c r="M20" s="1206"/>
      <c r="N20" s="1206"/>
      <c r="O20" s="1205"/>
      <c r="P20" s="1205"/>
      <c r="Q20" s="1205"/>
      <c r="R20" s="1205"/>
      <c r="S20" s="1205"/>
      <c r="T20" s="1205"/>
      <c r="U20" s="1207"/>
      <c r="V20" s="1207"/>
      <c r="W20" s="1207"/>
      <c r="X20" s="1207"/>
      <c r="Y20" s="1207"/>
      <c r="Z20" s="1207"/>
      <c r="AA20" s="1207"/>
      <c r="AB20" s="1205"/>
      <c r="AC20" s="1206"/>
      <c r="AD20" s="1206"/>
      <c r="AE20" s="1206"/>
      <c r="AF20" s="1206"/>
      <c r="AG20" s="1206"/>
      <c r="AH20" s="1206"/>
      <c r="AI20" s="1206"/>
      <c r="AJ20" s="1206"/>
      <c r="AK20" s="1206"/>
      <c r="AL20" s="1206"/>
      <c r="AM20" s="1206"/>
      <c r="AN20" s="1206"/>
      <c r="AO20" s="1206"/>
      <c r="AP20" s="1206"/>
      <c r="AQ20" s="1206"/>
      <c r="AR20" s="1206"/>
      <c r="AS20" s="1206"/>
      <c r="AT20" s="1206"/>
      <c r="AU20" s="1206"/>
      <c r="AV20" s="1206"/>
      <c r="AW20" s="1206"/>
      <c r="AX20" s="1206"/>
      <c r="AY20" s="1206"/>
      <c r="AZ20" s="1206"/>
      <c r="BA20" s="1206"/>
      <c r="BB20" s="1206"/>
      <c r="BC20" s="1206"/>
      <c r="BD20" s="1206"/>
      <c r="BE20" s="1206"/>
      <c r="BF20" s="1206"/>
      <c r="BG20" s="1206"/>
      <c r="BH20" s="1206"/>
      <c r="BI20" s="1206"/>
      <c r="BJ20" s="1206"/>
      <c r="BK20" s="1206"/>
      <c r="BL20" s="1206"/>
      <c r="BM20" s="1206"/>
      <c r="BN20" s="1206"/>
      <c r="BO20" s="1206"/>
      <c r="BP20" s="1206"/>
      <c r="BQ20" s="1206"/>
      <c r="BR20" s="1206"/>
      <c r="BS20" s="1206"/>
      <c r="BT20" s="1206"/>
      <c r="BU20" s="1206"/>
      <c r="BV20" s="1206"/>
      <c r="BW20" s="1206"/>
      <c r="BX20" s="1206"/>
      <c r="BY20" s="1206"/>
      <c r="BZ20" s="1206"/>
      <c r="CA20" s="1206"/>
      <c r="CB20" s="1206"/>
      <c r="CC20" s="1206"/>
      <c r="CD20" s="1206"/>
      <c r="CE20" s="1206"/>
      <c r="CF20" s="1206"/>
      <c r="CG20" s="1206"/>
      <c r="CH20" s="1206"/>
      <c r="CI20" s="1206"/>
      <c r="CJ20" s="1206"/>
      <c r="CK20" s="1206"/>
      <c r="CL20" s="1208"/>
      <c r="CM20" s="1208"/>
      <c r="CN20" s="1208"/>
      <c r="CO20" s="1208"/>
      <c r="CP20" s="1208"/>
      <c r="CQ20" s="1208"/>
      <c r="CR20" s="1208"/>
      <c r="CS20" s="1208"/>
      <c r="CT20" s="1208"/>
      <c r="CU20" s="1208"/>
      <c r="CV20" s="1208"/>
      <c r="CW20" s="1208"/>
      <c r="CX20" s="1208"/>
      <c r="CY20" s="1208"/>
      <c r="CZ20" s="1208"/>
      <c r="DA20" s="1208"/>
      <c r="DB20" s="1208"/>
      <c r="DC20" s="1208"/>
      <c r="DD20" s="1208"/>
      <c r="DE20" s="1208"/>
      <c r="DF20" s="1208"/>
      <c r="DG20" s="1208"/>
      <c r="DH20" s="1208"/>
      <c r="DI20" s="1208"/>
      <c r="DJ20" s="1208"/>
      <c r="DK20" s="1208"/>
      <c r="DL20" s="1208"/>
      <c r="DM20" s="1208"/>
      <c r="DN20" s="1208"/>
      <c r="DO20" s="1208"/>
      <c r="DP20" s="1208"/>
      <c r="DQ20" s="1208"/>
      <c r="DR20" s="1208"/>
      <c r="DS20" s="1208"/>
      <c r="DT20" s="1208"/>
      <c r="DU20" s="1208"/>
      <c r="DV20" s="1208"/>
      <c r="DW20" s="1208"/>
      <c r="DX20" s="1208"/>
      <c r="DY20" s="1208"/>
      <c r="DZ20" s="1208"/>
      <c r="EA20" s="1208"/>
      <c r="EB20" s="1208"/>
      <c r="EC20" s="1208"/>
      <c r="ED20" s="1208"/>
      <c r="EE20" s="1208"/>
      <c r="EF20" s="1208"/>
      <c r="EG20" s="1208"/>
      <c r="EH20" s="1208"/>
      <c r="EI20" s="1208"/>
      <c r="EJ20" s="1208"/>
      <c r="EK20" s="1208"/>
      <c r="EL20" s="1208"/>
      <c r="EM20" s="1208"/>
      <c r="EN20" s="1208"/>
      <c r="EO20" s="1208"/>
      <c r="EP20" s="1208"/>
      <c r="EQ20" s="1208"/>
      <c r="ER20" s="1208"/>
      <c r="ES20" s="1208"/>
      <c r="ET20" s="1208"/>
      <c r="EU20" s="1208"/>
      <c r="EV20" s="1208"/>
      <c r="EW20" s="1208"/>
      <c r="EX20" s="1208"/>
      <c r="EY20" s="1208"/>
      <c r="EZ20" s="1208"/>
      <c r="FA20" s="1208"/>
      <c r="FB20" s="1208"/>
      <c r="FC20" s="1208"/>
      <c r="FD20" s="1208"/>
      <c r="FE20" s="1208"/>
      <c r="FF20" s="1208"/>
      <c r="FG20" s="1208"/>
      <c r="FH20" s="1208"/>
      <c r="FI20" s="1208"/>
      <c r="FJ20" s="1208"/>
      <c r="FK20" s="1208"/>
      <c r="FL20" s="1208"/>
      <c r="FM20" s="1208"/>
      <c r="FN20" s="1208"/>
      <c r="FO20" s="1208"/>
      <c r="FP20" s="1208"/>
      <c r="FQ20" s="1208"/>
      <c r="FR20" s="1208"/>
      <c r="FS20" s="1208"/>
      <c r="FT20" s="1208"/>
      <c r="FU20" s="1208"/>
      <c r="FV20" s="1208"/>
      <c r="FW20" s="1208"/>
      <c r="FX20" s="1209"/>
      <c r="GC20" s="929">
        <v>0</v>
      </c>
    </row>
    <row s="932" customFormat="1" customHeight="1" ht="12.75">
      <c r="A21" s="948"/>
      <c r="B21" s="948"/>
      <c r="C21" s="948"/>
      <c r="D21" s="948"/>
      <c r="E21" s="948"/>
      <c r="F21" s="946"/>
      <c r="G21" s="946"/>
      <c r="H21" s="946"/>
      <c r="I21" s="946"/>
      <c r="J21" s="946"/>
      <c r="K21" s="946"/>
      <c r="L21" s="946"/>
      <c r="M21" s="946"/>
      <c r="N21" s="946"/>
      <c r="O21" s="946"/>
      <c r="P21" s="946"/>
      <c r="Q21" s="946"/>
      <c r="R21" s="946"/>
      <c r="S21" s="949"/>
      <c r="T21" s="949"/>
      <c r="U21" s="946"/>
      <c r="V21" s="946"/>
      <c r="W21" s="946"/>
      <c r="X21" s="946"/>
      <c r="Y21" s="946"/>
      <c r="Z21" s="946"/>
      <c r="AA21" s="946"/>
      <c r="AB21" s="946"/>
      <c r="AC21" s="946"/>
      <c r="AD21" s="946"/>
      <c r="AE21" s="946"/>
      <c r="AF21" s="946"/>
      <c r="AG21" s="946"/>
      <c r="AH21" s="946"/>
      <c r="AI21" s="946"/>
      <c r="AJ21" s="946"/>
      <c r="AK21" s="946"/>
      <c r="AL21" s="946"/>
      <c r="AM21" s="946"/>
      <c r="AN21" s="946"/>
      <c r="AO21" s="946"/>
      <c r="AP21" s="946"/>
      <c r="AQ21" s="946"/>
      <c r="AR21" s="946"/>
      <c r="AS21" s="946"/>
      <c r="AT21" s="946"/>
      <c r="AU21" s="946"/>
      <c r="AV21" s="946"/>
      <c r="AW21" s="946"/>
      <c r="AX21" s="946"/>
      <c r="AY21" s="946"/>
      <c r="AZ21" s="946"/>
      <c r="BA21" s="946"/>
      <c r="BB21" s="946"/>
      <c r="BC21" s="946"/>
      <c r="BD21" s="946"/>
      <c r="BE21" s="946"/>
      <c r="BF21" s="946"/>
      <c r="BG21" s="946"/>
      <c r="BH21" s="946"/>
      <c r="BI21" s="946"/>
      <c r="BJ21" s="946"/>
      <c r="BK21" s="946"/>
      <c r="BL21" s="946"/>
      <c r="BM21" s="946"/>
      <c r="BN21" s="946"/>
      <c r="BO21" s="946"/>
      <c r="BP21" s="946"/>
      <c r="BQ21" s="946"/>
      <c r="BR21" s="946"/>
      <c r="BS21" s="946"/>
      <c r="BT21" s="946"/>
      <c r="BU21" s="946"/>
      <c r="BV21" s="946"/>
      <c r="BW21" s="946"/>
      <c r="BX21" s="946"/>
      <c r="BY21" s="946"/>
      <c r="BZ21" s="946"/>
      <c r="CA21" s="946"/>
      <c r="CB21" s="946"/>
      <c r="CC21" s="946"/>
      <c r="CD21" s="946"/>
      <c r="CE21" s="946"/>
      <c r="CF21" s="946"/>
      <c r="CG21" s="946"/>
      <c r="CH21" s="946"/>
      <c r="CI21" s="946"/>
      <c r="CJ21" s="946"/>
      <c r="CK21" s="946"/>
      <c r="CL21" s="946"/>
      <c r="CM21" s="946"/>
      <c r="CN21" s="946"/>
      <c r="CO21" s="946"/>
      <c r="CP21" s="946"/>
      <c r="CQ21" s="946"/>
      <c r="CR21" s="946"/>
      <c r="CS21" s="946"/>
      <c r="CT21" s="946"/>
      <c r="CU21" s="946"/>
      <c r="CV21" s="946"/>
      <c r="CW21" s="946"/>
      <c r="CX21" s="946"/>
      <c r="CY21" s="946"/>
      <c r="CZ21" s="946"/>
      <c r="DA21" s="946"/>
      <c r="DB21" s="946"/>
      <c r="DC21" s="946"/>
      <c r="DD21" s="946"/>
      <c r="DE21" s="946"/>
      <c r="DF21" s="946"/>
      <c r="DG21" s="946"/>
      <c r="DH21" s="946"/>
      <c r="DI21" s="946"/>
      <c r="DJ21" s="946"/>
      <c r="DK21" s="946"/>
      <c r="DL21" s="946"/>
      <c r="DM21" s="946"/>
      <c r="DN21" s="946"/>
      <c r="DO21" s="946"/>
      <c r="DP21" s="946"/>
      <c r="DQ21" s="946"/>
      <c r="DR21" s="946"/>
      <c r="DS21" s="946"/>
      <c r="DT21" s="946"/>
      <c r="DU21" s="946"/>
      <c r="DV21" s="946"/>
      <c r="DW21" s="946"/>
      <c r="DX21" s="946"/>
      <c r="DY21" s="946"/>
      <c r="DZ21" s="946"/>
      <c r="EA21" s="946"/>
      <c r="EB21" s="946"/>
      <c r="EC21" s="946"/>
      <c r="ED21" s="946"/>
      <c r="EE21" s="946"/>
      <c r="EF21" s="946"/>
      <c r="EG21" s="946"/>
      <c r="EH21" s="946"/>
      <c r="EI21" s="946"/>
      <c r="EJ21" s="946"/>
      <c r="EK21" s="946"/>
      <c r="EL21" s="946"/>
      <c r="EM21" s="946"/>
      <c r="EN21" s="946"/>
      <c r="EO21" s="946"/>
      <c r="EP21" s="946"/>
      <c r="EQ21" s="946"/>
      <c r="ER21" s="946"/>
      <c r="ES21" s="946"/>
      <c r="ET21" s="946"/>
      <c r="EU21" s="946"/>
      <c r="EV21" s="946"/>
      <c r="EW21" s="946"/>
      <c r="EX21" s="946"/>
      <c r="EY21" s="946"/>
      <c r="EZ21" s="946"/>
      <c r="FA21" s="946"/>
      <c r="FB21" s="946"/>
      <c r="FC21" s="946"/>
      <c r="FD21" s="946"/>
      <c r="FE21" s="946"/>
      <c r="FF21" s="946"/>
      <c r="FG21" s="946"/>
      <c r="FH21" s="946"/>
      <c r="FI21" s="946"/>
      <c r="FJ21" s="946"/>
      <c r="FK21" s="946"/>
      <c r="FL21" s="946"/>
      <c r="FM21" s="946"/>
      <c r="FN21" s="946"/>
      <c r="FO21" s="946"/>
      <c r="FP21" s="946"/>
      <c r="FQ21" s="946"/>
      <c r="FR21" s="946"/>
      <c r="FS21" s="946"/>
      <c r="FT21" s="946"/>
      <c r="FU21" s="946"/>
      <c r="FV21" s="946"/>
      <c r="FW21" s="946"/>
      <c r="FX21" s="948"/>
      <c r="FY21" s="948"/>
      <c r="FZ21" s="948"/>
      <c r="GA21" s="948"/>
      <c r="GB21" s="948"/>
      <c r="GC21" s="929">
        <v>12</v>
      </c>
    </row>
    <row s="932" customFormat="1" customHeight="1" ht="12.75">
      <c r="A22" s="948"/>
      <c r="B22" s="948"/>
      <c r="C22" s="948"/>
      <c r="D22" s="948"/>
      <c r="E22" s="948"/>
      <c r="FX22" s="948"/>
      <c r="FY22" s="948"/>
      <c r="FZ22" s="948"/>
      <c r="GA22" s="948"/>
      <c r="GB22" s="948"/>
      <c r="GC22" s="929">
        <v>12</v>
      </c>
    </row>
    <row s="1070" customFormat="1" customHeight="1" ht="12.75">
      <c r="A23" s="1069"/>
      <c r="B23" s="1069"/>
      <c r="C23" s="1069"/>
      <c r="D23" s="1069"/>
      <c r="E23" s="1069"/>
      <c r="O23" s="1071"/>
      <c r="P23" s="1071"/>
      <c r="Q23" s="1071"/>
      <c r="R23" s="1071"/>
      <c r="S23" s="1071"/>
      <c r="T23" s="1071"/>
      <c r="U23" s="1071"/>
      <c r="V23" s="1071"/>
      <c r="W23" s="1071"/>
      <c r="X23" s="1071"/>
      <c r="Y23" s="1071"/>
      <c r="Z23" s="1071"/>
      <c r="AA23" s="1071"/>
      <c r="AB23" s="1071"/>
      <c r="AC23" s="1071"/>
      <c r="AD23" s="1071"/>
      <c r="AE23" s="1071"/>
      <c r="AF23" s="1071"/>
      <c r="AG23" s="1071"/>
      <c r="AH23" s="1071"/>
      <c r="AI23" s="1071"/>
      <c r="AJ23" s="1071"/>
      <c r="AK23" s="1071"/>
      <c r="AL23" s="1071"/>
      <c r="AM23" s="1071"/>
      <c r="AN23" s="1071"/>
      <c r="AO23" s="1071"/>
      <c r="AP23" s="1071"/>
      <c r="AQ23" s="1071"/>
      <c r="AR23" s="1071"/>
      <c r="AS23" s="1071"/>
      <c r="AT23" s="1071"/>
      <c r="AU23" s="1071"/>
      <c r="AV23" s="1071"/>
      <c r="AW23" s="1071"/>
      <c r="AX23" s="1071"/>
      <c r="AY23" s="1071"/>
      <c r="AZ23" s="1071"/>
      <c r="BA23" s="1071"/>
      <c r="BB23" s="1071"/>
      <c r="BC23" s="1071"/>
      <c r="BD23" s="1071"/>
      <c r="BE23" s="1071"/>
      <c r="BF23" s="1071"/>
      <c r="BG23" s="1071"/>
      <c r="BH23" s="1071"/>
      <c r="BI23" s="1071"/>
      <c r="BJ23" s="1071"/>
      <c r="BK23" s="1071"/>
      <c r="BL23" s="1071"/>
      <c r="BM23" s="1071"/>
      <c r="BN23" s="1071"/>
      <c r="BO23" s="1071"/>
      <c r="BP23" s="1071"/>
      <c r="BQ23" s="1071"/>
      <c r="BR23" s="1071"/>
      <c r="BS23" s="1071"/>
      <c r="BT23" s="1072"/>
      <c r="BU23" s="1072"/>
      <c r="BV23" s="1072"/>
      <c r="BW23" s="1072"/>
      <c r="BX23" s="1072"/>
      <c r="BY23" s="1072"/>
      <c r="BZ23" s="1072"/>
      <c r="CA23" s="1072"/>
      <c r="CB23" s="1072"/>
      <c r="CC23" s="1072"/>
      <c r="CD23" s="1072"/>
      <c r="CE23" s="1072"/>
      <c r="CF23" s="1072"/>
      <c r="CG23" s="1072"/>
      <c r="CH23" s="1072"/>
      <c r="CI23" s="1072"/>
      <c r="CJ23" s="1072"/>
      <c r="CK23" s="1072"/>
      <c r="CL23" s="1072"/>
      <c r="CM23" s="1072"/>
      <c r="CN23" s="1072"/>
      <c r="CO23" s="1072"/>
      <c r="CP23" s="1072"/>
      <c r="CQ23" s="1072"/>
      <c r="CR23" s="1072"/>
      <c r="CS23" s="1072"/>
      <c r="CT23" s="1072"/>
      <c r="CU23" s="1072"/>
      <c r="CV23" s="1072"/>
      <c r="CW23" s="1072"/>
      <c r="CX23" s="1072"/>
      <c r="CY23" s="1072"/>
      <c r="CZ23" s="1072"/>
      <c r="DA23" s="1072"/>
      <c r="DB23" s="1072"/>
      <c r="DC23" s="1072"/>
      <c r="DD23" s="1072"/>
      <c r="DE23" s="1072"/>
      <c r="DF23" s="1072"/>
      <c r="DG23" s="1072"/>
      <c r="DH23" s="1072"/>
      <c r="DI23" s="1072"/>
      <c r="DJ23" s="1072"/>
      <c r="DK23" s="1072"/>
      <c r="DL23" s="1072"/>
      <c r="DM23" s="1072"/>
      <c r="DN23" s="1072"/>
      <c r="DO23" s="1072"/>
      <c r="DP23" s="1072"/>
      <c r="DQ23" s="1072"/>
      <c r="DR23" s="1072"/>
      <c r="DS23" s="1072"/>
      <c r="DT23" s="1072"/>
      <c r="DU23" s="1072"/>
      <c r="DV23" s="1072"/>
      <c r="DW23" s="1072"/>
      <c r="DX23" s="1072"/>
      <c r="FX23" s="1069"/>
      <c r="FY23" s="1069"/>
      <c r="FZ23" s="1069"/>
      <c r="GA23" s="1069"/>
      <c r="GB23" s="1069"/>
      <c r="GC23" s="1070">
        <v>12</v>
      </c>
    </row>
    <row customHeight="1" ht="12.75">
      <c r="S24" s="945"/>
      <c r="T24" s="945"/>
      <c r="U24" s="945"/>
      <c r="V24" s="945"/>
      <c r="W24" s="945"/>
      <c r="X24" s="945"/>
      <c r="Y24" s="945"/>
      <c r="Z24" s="945"/>
      <c r="AA24" s="945"/>
      <c r="AB24" s="945"/>
      <c r="FX24" s="945"/>
      <c r="FY24" s="945"/>
      <c r="FZ24" s="945"/>
      <c r="GA24" s="945"/>
      <c r="GB24" s="945"/>
      <c r="GC24" s="933">
        <v>12</v>
      </c>
    </row>
    <row customHeight="1" ht="12" hidden="1">
      <c r="A25" s="933" t="s">
        <v>82</v>
      </c>
      <c r="B25" s="943">
        <v>0</v>
      </c>
      <c r="C25" s="933">
        <v>0</v>
      </c>
      <c r="D25" s="933">
        <v>0</v>
      </c>
      <c r="E25" s="933">
        <v>3</v>
      </c>
      <c r="F25" s="933">
        <v>6</v>
      </c>
      <c r="G25" s="933">
        <v>18</v>
      </c>
      <c r="H25" s="933">
        <v>27</v>
      </c>
      <c r="I25" s="933">
        <v>18</v>
      </c>
      <c r="J25" s="933">
        <v>0</v>
      </c>
      <c r="K25" s="933">
        <v>0</v>
      </c>
      <c r="L25" s="933">
        <v>0</v>
      </c>
      <c r="M25" s="933">
        <v>0</v>
      </c>
      <c r="N25" s="933">
        <v>0</v>
      </c>
      <c r="O25" s="933">
        <v>0</v>
      </c>
      <c r="P25" s="933">
        <v>0</v>
      </c>
      <c r="Q25" s="933">
        <v>0</v>
      </c>
      <c r="R25" s="933">
        <v>0</v>
      </c>
      <c r="S25" s="933">
        <v>0</v>
      </c>
      <c r="T25" s="933">
        <v>0</v>
      </c>
      <c r="U25" s="933">
        <v>0</v>
      </c>
      <c r="V25" s="933">
        <v>0</v>
      </c>
      <c r="W25" s="933">
        <v>0</v>
      </c>
      <c r="X25" s="933">
        <v>0</v>
      </c>
      <c r="Y25" s="933">
        <v>0</v>
      </c>
      <c r="Z25" s="933">
        <v>0</v>
      </c>
      <c r="AA25" s="933">
        <v>0</v>
      </c>
      <c r="AB25" s="933">
        <v>0</v>
      </c>
      <c r="AC25" s="933">
        <v>0</v>
      </c>
      <c r="AD25" s="933">
        <v>0</v>
      </c>
      <c r="AE25" s="933">
        <v>0</v>
      </c>
      <c r="AF25" s="933">
        <v>0</v>
      </c>
      <c r="AG25" s="933">
        <v>0</v>
      </c>
      <c r="AH25" s="933">
        <v>0</v>
      </c>
      <c r="AI25" s="933">
        <v>0</v>
      </c>
      <c r="AJ25" s="933">
        <v>0</v>
      </c>
      <c r="AK25" s="933">
        <v>0</v>
      </c>
      <c r="AL25" s="933">
        <v>0</v>
      </c>
      <c r="AM25" s="933">
        <v>0</v>
      </c>
      <c r="AN25" s="933">
        <v>0</v>
      </c>
      <c r="AO25" s="933">
        <v>0</v>
      </c>
      <c r="AP25" s="933">
        <v>0</v>
      </c>
      <c r="AQ25" s="933">
        <v>0</v>
      </c>
      <c r="AR25" s="933">
        <v>0</v>
      </c>
      <c r="AS25" s="933">
        <v>0</v>
      </c>
      <c r="AT25" s="933">
        <v>0</v>
      </c>
      <c r="AU25" s="933">
        <v>0</v>
      </c>
      <c r="AV25" s="933">
        <v>0</v>
      </c>
      <c r="AW25" s="933">
        <v>0</v>
      </c>
      <c r="AX25" s="933">
        <v>0</v>
      </c>
      <c r="AY25" s="933">
        <v>0</v>
      </c>
      <c r="AZ25" s="933">
        <v>0</v>
      </c>
      <c r="BA25" s="933">
        <v>0</v>
      </c>
      <c r="BB25" s="933">
        <v>0</v>
      </c>
      <c r="BC25" s="933">
        <v>0</v>
      </c>
      <c r="BD25" s="933">
        <v>0</v>
      </c>
      <c r="BE25" s="933">
        <v>0</v>
      </c>
      <c r="BF25" s="933">
        <v>0</v>
      </c>
      <c r="BG25" s="933">
        <v>0</v>
      </c>
      <c r="BH25" s="933">
        <v>0</v>
      </c>
      <c r="BI25" s="933">
        <v>0</v>
      </c>
      <c r="BJ25" s="933">
        <v>0</v>
      </c>
      <c r="BK25" s="933">
        <v>0</v>
      </c>
      <c r="BL25" s="933">
        <v>0</v>
      </c>
      <c r="BM25" s="933">
        <v>0</v>
      </c>
      <c r="BN25" s="933">
        <v>0</v>
      </c>
      <c r="BO25" s="933">
        <v>0</v>
      </c>
      <c r="BP25" s="933">
        <v>0</v>
      </c>
      <c r="BQ25" s="933">
        <v>0</v>
      </c>
      <c r="BR25" s="933">
        <v>0</v>
      </c>
      <c r="BS25" s="933">
        <v>0</v>
      </c>
      <c r="BT25" s="933">
        <v>0</v>
      </c>
      <c r="BU25" s="933">
        <v>0</v>
      </c>
      <c r="BV25" s="933">
        <v>0</v>
      </c>
      <c r="BW25" s="933">
        <v>0</v>
      </c>
      <c r="BX25" s="933">
        <v>0</v>
      </c>
      <c r="BY25" s="933">
        <v>0</v>
      </c>
      <c r="BZ25" s="933">
        <v>0</v>
      </c>
      <c r="CA25" s="933">
        <v>0</v>
      </c>
      <c r="CB25" s="933">
        <v>0</v>
      </c>
      <c r="CC25" s="933">
        <v>0</v>
      </c>
      <c r="CD25" s="933">
        <v>0</v>
      </c>
      <c r="CE25" s="933">
        <v>0</v>
      </c>
      <c r="CF25" s="933">
        <v>0</v>
      </c>
      <c r="CG25" s="933">
        <v>0</v>
      </c>
      <c r="CH25" s="933">
        <v>0</v>
      </c>
      <c r="CI25" s="933">
        <v>0</v>
      </c>
      <c r="CJ25" s="933">
        <v>0</v>
      </c>
      <c r="CK25" s="933">
        <v>0</v>
      </c>
      <c r="CL25" s="933">
        <v>0</v>
      </c>
      <c r="CM25" s="933">
        <v>0</v>
      </c>
      <c r="CN25" s="933">
        <v>0</v>
      </c>
      <c r="CO25" s="933">
        <v>0</v>
      </c>
      <c r="CP25" s="933">
        <v>0</v>
      </c>
      <c r="CQ25" s="933">
        <v>0</v>
      </c>
      <c r="CR25" s="933">
        <v>0</v>
      </c>
      <c r="CS25" s="933">
        <v>0</v>
      </c>
      <c r="CT25" s="933">
        <v>0</v>
      </c>
      <c r="CU25" s="933">
        <v>0</v>
      </c>
      <c r="CV25" s="933">
        <v>0</v>
      </c>
      <c r="CW25" s="933">
        <v>0</v>
      </c>
      <c r="CX25" s="933">
        <v>0</v>
      </c>
      <c r="CY25" s="933">
        <v>0</v>
      </c>
      <c r="CZ25" s="933">
        <v>0</v>
      </c>
      <c r="DA25" s="933">
        <v>0</v>
      </c>
      <c r="DB25" s="933">
        <v>0</v>
      </c>
      <c r="DC25" s="933">
        <v>0</v>
      </c>
      <c r="DD25" s="933">
        <v>0</v>
      </c>
      <c r="DE25" s="933">
        <v>0</v>
      </c>
      <c r="DF25" s="933">
        <v>0</v>
      </c>
      <c r="DG25" s="933">
        <v>0</v>
      </c>
      <c r="DH25" s="933">
        <v>0</v>
      </c>
      <c r="DI25" s="933">
        <v>0</v>
      </c>
      <c r="DJ25" s="933">
        <v>0</v>
      </c>
      <c r="DK25" s="933">
        <v>0</v>
      </c>
      <c r="DL25" s="933">
        <v>0</v>
      </c>
      <c r="DM25" s="933">
        <v>0</v>
      </c>
      <c r="DN25" s="933">
        <v>0</v>
      </c>
      <c r="DO25" s="933">
        <v>0</v>
      </c>
      <c r="DP25" s="933">
        <v>0</v>
      </c>
      <c r="DQ25" s="933">
        <v>0</v>
      </c>
      <c r="DR25" s="933">
        <v>0</v>
      </c>
      <c r="DS25" s="933">
        <v>0</v>
      </c>
      <c r="DT25" s="933">
        <v>0</v>
      </c>
      <c r="DU25" s="933">
        <v>0</v>
      </c>
      <c r="DV25" s="933">
        <v>0</v>
      </c>
      <c r="DW25" s="933">
        <v>0</v>
      </c>
      <c r="DX25" s="933">
        <v>0</v>
      </c>
      <c r="DY25" s="933">
        <v>0</v>
      </c>
      <c r="DZ25" s="933">
        <v>0</v>
      </c>
      <c r="EA25" s="933">
        <v>0</v>
      </c>
      <c r="EB25" s="933">
        <v>0</v>
      </c>
      <c r="EC25" s="933">
        <v>0</v>
      </c>
      <c r="ED25" s="933">
        <v>0</v>
      </c>
      <c r="EE25" s="933">
        <v>0</v>
      </c>
      <c r="EF25" s="933">
        <v>0</v>
      </c>
      <c r="EG25" s="933">
        <v>0</v>
      </c>
      <c r="EH25" s="933">
        <v>0</v>
      </c>
      <c r="EI25" s="933">
        <v>0</v>
      </c>
      <c r="EJ25" s="933">
        <v>0</v>
      </c>
      <c r="EK25" s="933">
        <v>0</v>
      </c>
      <c r="EL25" s="933">
        <v>0</v>
      </c>
      <c r="EM25" s="933">
        <v>0</v>
      </c>
      <c r="EN25" s="933">
        <v>0</v>
      </c>
      <c r="EO25" s="933">
        <v>0</v>
      </c>
      <c r="EP25" s="933">
        <v>0</v>
      </c>
      <c r="EQ25" s="933">
        <v>0</v>
      </c>
      <c r="ER25" s="933">
        <v>0</v>
      </c>
      <c r="ES25" s="933">
        <v>0</v>
      </c>
      <c r="ET25" s="933">
        <v>0</v>
      </c>
      <c r="EU25" s="933">
        <v>0</v>
      </c>
      <c r="EV25" s="933">
        <v>0</v>
      </c>
      <c r="EW25" s="933">
        <v>0</v>
      </c>
      <c r="EX25" s="933">
        <v>0</v>
      </c>
      <c r="EY25" s="933">
        <v>0</v>
      </c>
      <c r="EZ25" s="933">
        <v>0</v>
      </c>
      <c r="FA25" s="933">
        <v>0</v>
      </c>
      <c r="FB25" s="933">
        <v>0</v>
      </c>
      <c r="FC25" s="933">
        <v>0</v>
      </c>
      <c r="FD25" s="933">
        <v>0</v>
      </c>
      <c r="FE25" s="933">
        <v>0</v>
      </c>
      <c r="FF25" s="933">
        <v>0</v>
      </c>
      <c r="FG25" s="933">
        <v>0</v>
      </c>
      <c r="FH25" s="933">
        <v>0</v>
      </c>
      <c r="FI25" s="933">
        <v>0</v>
      </c>
      <c r="FJ25" s="933">
        <v>0</v>
      </c>
      <c r="FK25" s="933">
        <v>0</v>
      </c>
      <c r="FL25" s="933">
        <v>0</v>
      </c>
      <c r="FM25" s="933">
        <v>0</v>
      </c>
      <c r="FN25" s="933">
        <v>0</v>
      </c>
      <c r="FO25" s="933">
        <v>0</v>
      </c>
      <c r="FP25" s="933">
        <v>0</v>
      </c>
      <c r="FQ25" s="933">
        <v>0</v>
      </c>
      <c r="FR25" s="933">
        <v>0</v>
      </c>
      <c r="FS25" s="933">
        <v>0</v>
      </c>
      <c r="FT25" s="933">
        <v>0</v>
      </c>
      <c r="FU25" s="933">
        <v>0</v>
      </c>
      <c r="FV25" s="933">
        <v>0</v>
      </c>
      <c r="FW25" s="933">
        <v>0</v>
      </c>
      <c r="FX25" s="933">
        <v>8</v>
      </c>
      <c r="FY25" s="933">
        <v>8</v>
      </c>
      <c r="FZ25" s="933">
        <v>8</v>
      </c>
      <c r="GA25" s="933">
        <v>8</v>
      </c>
      <c r="GB25" s="933">
        <v>8</v>
      </c>
      <c r="GC25" s="933">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0C0ACD-6D8B-562F-8345-676C763BD12E}"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9" width="9.140625" hidden="1" customWidth="1"/>
    <col min="2" max="2" style="1642" width="9.140625" hidden="1" customWidth="1"/>
    <col min="3" max="3" style="690" width="4.00390625" customWidth="1"/>
    <col min="4" max="4" style="1642" width="6.00390625" customWidth="1"/>
    <col min="5" max="5" style="1642" width="36.00390625" customWidth="1"/>
    <col min="6" max="6" style="1642" width="9.00390625" customWidth="1"/>
    <col min="7" max="7" style="1642" width="42.421875" hidden="1" customWidth="1"/>
    <col min="8" max="8" style="1642" width="40.7109375" customWidth="1"/>
    <col min="9" max="9" style="1373" width="93.00390625" customWidth="1"/>
    <col min="10" max="17" style="1642" width="10.00390625" customWidth="1"/>
    <col min="18" max="18" style="682" width="10.00390625" customWidth="1"/>
    <col min="19" max="19" style="1642" width="10.57421875" hidden="1"/>
  </cols>
  <sheetData>
    <row s="1373" customFormat="1" customHeight="1" ht="15" hidden="1">
      <c r="C1" s="679"/>
      <c r="H1" s="424">
        <v>4</v>
      </c>
      <c r="R1" s="427"/>
      <c r="S1" s="424" t="s">
        <v>14</v>
      </c>
    </row>
    <row customHeight="1" ht="22.5" hidden="1">
      <c r="C2" s="1935" t="s">
        <v>102</v>
      </c>
      <c r="D2" s="546"/>
      <c r="E2" s="670"/>
      <c r="F2" s="1768" t="str">
        <f>IF(TEMPLATE_SPHERE="HEAT","Гкал/час","тыс. куб. м/сутки")</f>
        <v>тыс. куб. м/сутки</v>
      </c>
      <c r="G2" s="687"/>
      <c r="H2" s="687"/>
      <c r="I2" s="296"/>
      <c r="S2" s="512">
        <v>0</v>
      </c>
    </row>
    <row s="1373" customFormat="1" customHeight="1" ht="15" hidden="1">
      <c r="C3" s="679"/>
      <c r="R3" s="427"/>
      <c r="S3" s="424">
        <v>0</v>
      </c>
    </row>
    <row customHeight="1" ht="15.75">
      <c r="C4" s="183"/>
      <c r="D4" s="516"/>
      <c r="E4" s="516"/>
      <c r="F4" s="516"/>
      <c r="G4" s="516"/>
      <c r="H4" s="516"/>
      <c r="S4" s="512">
        <v>15</v>
      </c>
    </row>
    <row customHeight="1" ht="39.75">
      <c r="C5" s="183"/>
      <c r="D5" s="2244"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44"/>
      <c r="F5" s="2244"/>
      <c r="G5" s="2244"/>
      <c r="H5" s="2244"/>
      <c r="I5" s="544"/>
      <c r="S5" s="512">
        <v>38</v>
      </c>
    </row>
    <row customHeight="1" ht="15.75">
      <c r="C6" s="183"/>
      <c r="D6" s="2183" t="str">
        <f>IF(org=0,"Не определено",org)</f>
        <v>ГУП "Белоблводоканал"</v>
      </c>
      <c r="E6" s="2183"/>
      <c r="F6" s="2183"/>
      <c r="G6" s="2183"/>
      <c r="H6" s="2183"/>
      <c r="I6" s="544"/>
      <c r="S6" s="512">
        <v>15</v>
      </c>
    </row>
    <row s="1642" customFormat="1" customHeight="1" ht="15.75">
      <c r="A7" s="766"/>
      <c r="C7" s="183"/>
      <c r="D7" s="683"/>
      <c r="E7" s="683"/>
      <c r="F7" s="683"/>
      <c r="G7" s="683"/>
      <c r="H7" s="759"/>
      <c r="I7" s="544"/>
      <c r="R7" s="682"/>
      <c r="S7" s="765">
        <v>15</v>
      </c>
    </row>
    <row customHeight="1" ht="1.05">
      <c r="C8" s="183"/>
      <c r="D8" s="516"/>
      <c r="E8" s="516"/>
      <c r="F8" s="516"/>
      <c r="G8" s="516"/>
      <c r="H8" s="544" t="s">
        <v>209</v>
      </c>
      <c r="S8" s="512">
        <v>1</v>
      </c>
    </row>
    <row customHeight="1" ht="15.75">
      <c r="C9" s="183"/>
      <c r="D9" s="718"/>
      <c r="E9" s="2374" t="s">
        <v>201</v>
      </c>
      <c r="F9" s="2375"/>
      <c r="G9" s="823" t="str">
        <f>IF(G8="","",INDEX(DIFFERENTIATION_UNMERGE_VD,MATCH(G8,DIFFERENTIATION_ID_DIFF,0)))</f>
        <v/>
      </c>
      <c r="H9" s="823">
        <f>IF(H8="","",INDEX(DIFFERENTIATION_UNMERGE_VD,MATCH(H8,DIFFERENTIATION_ID_DIFF,0)))</f>
        <v>0</v>
      </c>
      <c r="I9" s="2134" t="s">
        <v>464</v>
      </c>
      <c r="S9" s="512">
        <v>15</v>
      </c>
    </row>
    <row s="1642" customFormat="1" customHeight="1" ht="15.75">
      <c r="A10" s="766"/>
      <c r="C10" s="183"/>
      <c r="D10" s="718"/>
      <c r="E10" s="2374" t="s">
        <v>726</v>
      </c>
      <c r="F10" s="2375"/>
      <c r="G10" s="823" t="str">
        <f>IF(G8="","",INDEX(DIFFERENTIATION_UNMERGE_AREA,MATCH(G8,DIFFERENTIATION_ID_DIFF,0)))</f>
        <v/>
      </c>
      <c r="H10" s="823" t="str">
        <f>IF(H8="","",INDEX(DIFFERENTIATION_UNMERGE_AREA,MATCH(H8,DIFFERENTIATION_ID_DIFF,0)))</f>
        <v/>
      </c>
      <c r="I10" s="2134"/>
      <c r="R10" s="682"/>
      <c r="S10" s="765">
        <v>15</v>
      </c>
    </row>
    <row s="1642" customFormat="1" customHeight="1" ht="15.75">
      <c r="A11" s="766"/>
      <c r="C11" s="183"/>
      <c r="D11" s="718"/>
      <c r="E11" s="2374" t="s">
        <v>727</v>
      </c>
      <c r="F11" s="2375"/>
      <c r="G11" s="823" t="str">
        <f>IF(G8="","",INDEX(DIFFERENTIATION_UNMERGE_SYSTEM,MATCH(G8,DIFFERENTIATION_ID_DIFF,0)))</f>
        <v/>
      </c>
      <c r="H11" s="823" t="str">
        <f>IF(H8="","",INDEX(DIFFERENTIATION_UNMERGE_SYSTEM,MATCH(H8,DIFFERENTIATION_ID_DIFF,0)))</f>
        <v>без дифференциации</v>
      </c>
      <c r="I11" s="2134"/>
      <c r="R11" s="682"/>
      <c r="S11" s="765">
        <v>15</v>
      </c>
    </row>
    <row s="1642" customFormat="1" customHeight="1" ht="15.75">
      <c r="A12" s="766"/>
      <c r="C12" s="183"/>
      <c r="D12" s="2376" t="s">
        <v>463</v>
      </c>
      <c r="E12" s="2377"/>
      <c r="F12" s="2377"/>
      <c r="G12" s="894"/>
      <c r="H12" s="894"/>
      <c r="I12" s="2134"/>
      <c r="R12" s="682"/>
      <c r="S12" s="765">
        <v>15</v>
      </c>
    </row>
    <row customHeight="1" ht="35.699999999999996">
      <c r="C13" s="183"/>
      <c r="D13" s="768" t="s">
        <v>88</v>
      </c>
      <c r="E13" s="767" t="s">
        <v>465</v>
      </c>
      <c r="F13" s="767" t="s">
        <v>728</v>
      </c>
      <c r="G13" s="815" t="s">
        <v>466</v>
      </c>
      <c r="H13" s="761" t="s">
        <v>466</v>
      </c>
      <c r="I13" s="2134"/>
      <c r="S13" s="512">
        <v>34</v>
      </c>
    </row>
    <row customHeight="1" ht="15" hidden="1">
      <c r="C14" s="183"/>
      <c r="D14" s="600" t="s">
        <v>108</v>
      </c>
      <c r="E14" s="600" t="s">
        <v>99</v>
      </c>
      <c r="F14" s="600" t="s">
        <v>90</v>
      </c>
      <c r="G14" s="666" t="str">
        <f>G1&amp;".1"</f>
        <v>.1</v>
      </c>
      <c r="H14" s="666" t="str">
        <f>H1&amp;".1"</f>
        <v>4.1</v>
      </c>
      <c r="I14" s="296"/>
      <c r="S14" s="512">
        <v>0</v>
      </c>
    </row>
    <row customHeight="1" ht="15.75">
      <c r="A15" s="512"/>
      <c r="C15" s="533"/>
      <c r="D15" s="528">
        <v>1</v>
      </c>
      <c r="E15" s="1937" t="str">
        <f>TP_P_A</f>
        <v>Количество поданных заявлений </v>
      </c>
      <c r="F15" s="528" t="s">
        <v>1276</v>
      </c>
      <c r="G15" s="692"/>
      <c r="H15" s="692"/>
      <c r="I15" s="215"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12">
        <v>15</v>
      </c>
    </row>
    <row customHeight="1" ht="15.75">
      <c r="A16" s="512"/>
      <c r="C16" s="533"/>
      <c r="D16" s="528">
        <v>2</v>
      </c>
      <c r="E16" s="1937" t="str">
        <f>TP_P_B</f>
        <v>Количество исполненных заявлений </v>
      </c>
      <c r="F16" s="528" t="s">
        <v>1276</v>
      </c>
      <c r="G16" s="692"/>
      <c r="H16" s="692"/>
      <c r="I16" s="215"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12">
        <v>15</v>
      </c>
    </row>
    <row customHeight="1" ht="77.7">
      <c r="A17" s="512"/>
      <c r="C17" s="533"/>
      <c r="D17" s="528">
        <v>3</v>
      </c>
      <c r="E17" s="1937"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8" t="s">
        <v>1276</v>
      </c>
      <c r="G17" s="692"/>
      <c r="H17" s="692"/>
      <c r="I17" s="215"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12">
        <v>74</v>
      </c>
    </row>
    <row customHeight="1" ht="54.75">
      <c r="A18" s="512"/>
      <c r="C18" s="533"/>
      <c r="D18" s="528">
        <v>4</v>
      </c>
      <c r="E18" s="1937"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8" t="s">
        <v>469</v>
      </c>
      <c r="G18" s="693"/>
      <c r="H18" s="693"/>
      <c r="I18" s="845"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12">
        <v>52</v>
      </c>
    </row>
    <row customHeight="1" ht="60">
      <c r="A19" s="512"/>
      <c r="C19" s="533"/>
      <c r="D19" s="528">
        <v>5</v>
      </c>
      <c r="E19" s="1937"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8" t="str">
        <f>IF(TEMPLATE_SPHERE="HEAT","Гкал/час","тыс. куб. м/сутки")</f>
        <v>тыс. куб. м/сутки</v>
      </c>
      <c r="G19" s="694">
        <f>SUM(G20:G22)</f>
        <v>0</v>
      </c>
      <c r="H19" s="694">
        <f>SUM(H20:H22)</f>
        <v>0</v>
      </c>
      <c r="I19" s="215"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12">
        <v>57</v>
      </c>
    </row>
    <row customHeight="1" ht="15" hidden="1">
      <c r="D20" s="516" t="s">
        <v>1277</v>
      </c>
      <c r="E20" s="695"/>
      <c r="F20" s="516"/>
      <c r="G20" s="516"/>
      <c r="H20" s="516"/>
      <c r="I20" s="1770"/>
      <c r="S20" s="512">
        <v>0</v>
      </c>
    </row>
    <row customHeight="1" ht="29.25">
      <c r="C21" s="458"/>
      <c r="D21" s="546" t="s">
        <v>476</v>
      </c>
      <c r="E21" s="677"/>
      <c r="F21" s="1768" t="str">
        <f>IF(TEMPLATE_SPHERE="HEAT","Гкал/час","тыс. куб. м/сутки")</f>
        <v>тыс. куб. м/сутки</v>
      </c>
      <c r="G21" s="687"/>
      <c r="H21" s="687"/>
      <c r="I21" s="2176"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12">
        <v>28</v>
      </c>
    </row>
    <row customHeight="1" ht="15.75">
      <c r="A22" s="512"/>
      <c r="C22" s="512"/>
      <c r="D22" s="354"/>
      <c r="E22" s="587" t="s">
        <v>1278</v>
      </c>
      <c r="F22" s="579"/>
      <c r="G22" s="579"/>
      <c r="H22" s="579"/>
      <c r="I22" s="2178"/>
      <c r="R22" s="512"/>
      <c r="S22" s="512">
        <v>15</v>
      </c>
    </row>
    <row customHeight="1" ht="22.5" hidden="1">
      <c r="A23" s="456" t="s">
        <v>82</v>
      </c>
      <c r="B23" s="512">
        <v>0</v>
      </c>
      <c r="C23" s="690">
        <v>4</v>
      </c>
      <c r="D23" s="512">
        <v>6</v>
      </c>
      <c r="E23" s="512">
        <v>36</v>
      </c>
      <c r="F23" s="512">
        <v>9</v>
      </c>
      <c r="G23" s="765">
        <v>0</v>
      </c>
      <c r="H23" s="512">
        <v>40</v>
      </c>
      <c r="I23" s="424">
        <v>93</v>
      </c>
      <c r="J23" s="512">
        <v>10</v>
      </c>
      <c r="K23" s="512">
        <v>10</v>
      </c>
      <c r="L23" s="512">
        <v>10</v>
      </c>
      <c r="M23" s="512">
        <v>10</v>
      </c>
      <c r="N23" s="512">
        <v>10</v>
      </c>
      <c r="O23" s="512">
        <v>10</v>
      </c>
      <c r="P23" s="512">
        <v>10</v>
      </c>
      <c r="Q23" s="512">
        <v>10</v>
      </c>
      <c r="R23" s="682">
        <v>10</v>
      </c>
      <c r="S23" s="512">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A57CAC-4D65-A769-48AD-47DD74A1D46C}"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404" width="9.140625" hidden="1" customWidth="1"/>
    <col min="2" max="2" style="1373" width="9.140625" hidden="1" customWidth="1"/>
    <col min="3" max="3" style="351" width="3.00390625" customWidth="1"/>
    <col min="4" max="4" style="1642" width="6.00390625" customWidth="1"/>
    <col min="5" max="6" style="1642" width="64.00390625" customWidth="1"/>
    <col min="7" max="7" style="1642" width="140.00390625" customWidth="1"/>
    <col min="8" max="8" style="1642" width="10.00390625" customWidth="1"/>
    <col min="9" max="10" style="1631" width="10.00390625" customWidth="1"/>
    <col min="11" max="16" style="1642" width="10.00390625" customWidth="1"/>
    <col min="17" max="17" style="1642" width="10.57421875" hidden="1"/>
  </cols>
  <sheetData>
    <row customHeight="1" ht="22.5" hidden="1">
      <c r="M1" s="262"/>
      <c r="N1" s="262"/>
      <c r="P1" s="262"/>
      <c r="Q1" s="90" t="s">
        <v>14</v>
      </c>
    </row>
    <row customHeight="1" ht="14.25" hidden="1">
      <c r="Q2" s="90">
        <v>0</v>
      </c>
    </row>
    <row customHeight="1" ht="14.25" hidden="1">
      <c r="Q3" s="90">
        <v>0</v>
      </c>
    </row>
    <row customHeight="1" ht="3">
      <c r="C4" s="103"/>
      <c r="D4" s="91"/>
      <c r="E4" s="91"/>
      <c r="F4" s="92"/>
      <c r="G4" s="92"/>
      <c r="Q4" s="90">
        <v>3</v>
      </c>
    </row>
    <row customHeight="1" ht="29.25">
      <c r="C5" s="103"/>
      <c r="D5" s="2461"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62"/>
      <c r="F5" s="2462"/>
      <c r="G5" s="2463"/>
      <c r="Q5" s="90">
        <v>28</v>
      </c>
    </row>
    <row s="1642" customFormat="1" customHeight="1" ht="18.75">
      <c r="A6" s="889"/>
      <c r="B6" s="424"/>
      <c r="C6" s="383"/>
      <c r="D6" s="2464" t="str">
        <f>IF(org=0,"Не определено",org)</f>
        <v>ГУП "Белоблводоканал"</v>
      </c>
      <c r="E6" s="2465"/>
      <c r="F6" s="2465"/>
      <c r="G6" s="2466"/>
      <c r="I6" s="507"/>
      <c r="J6" s="507"/>
      <c r="Q6" s="765">
        <v>18</v>
      </c>
    </row>
    <row customHeight="1" ht="14.699999999999998">
      <c r="C7" s="103"/>
      <c r="D7" s="91"/>
      <c r="E7" s="102"/>
      <c r="F7" s="759"/>
      <c r="G7" s="200"/>
      <c r="Q7" s="90">
        <v>14</v>
      </c>
    </row>
    <row s="1642" customFormat="1" customHeight="1" ht="1.05">
      <c r="A8" s="1676"/>
      <c r="B8" s="1167"/>
      <c r="C8" s="383"/>
      <c r="D8" s="370"/>
      <c r="E8" s="396"/>
      <c r="F8" s="759"/>
      <c r="G8" s="200"/>
      <c r="I8" s="1631"/>
      <c r="J8" s="1631"/>
      <c r="Q8" s="1638">
        <v>1</v>
      </c>
    </row>
    <row customHeight="1" ht="14.699999999999998">
      <c r="C9" s="103"/>
      <c r="D9" s="2216" t="s">
        <v>463</v>
      </c>
      <c r="E9" s="2216"/>
      <c r="F9" s="2216"/>
      <c r="G9" s="2396" t="s">
        <v>464</v>
      </c>
      <c r="Q9" s="90">
        <v>14</v>
      </c>
    </row>
    <row customHeight="1" ht="24">
      <c r="C10" s="103"/>
      <c r="D10" s="112" t="s">
        <v>88</v>
      </c>
      <c r="E10" s="115" t="s">
        <v>465</v>
      </c>
      <c r="F10" s="115" t="s">
        <v>553</v>
      </c>
      <c r="G10" s="2396"/>
      <c r="Q10" s="90">
        <v>23</v>
      </c>
    </row>
    <row customHeight="1" ht="12" hidden="1">
      <c r="C11" s="103"/>
      <c r="D11" s="94"/>
      <c r="E11" s="94"/>
      <c r="F11" s="94"/>
      <c r="G11" s="94"/>
      <c r="Q11" s="90">
        <v>0</v>
      </c>
    </row>
    <row customHeight="1" ht="65.25">
      <c r="A12" s="199"/>
      <c r="C12" s="103"/>
      <c r="D12" s="154">
        <v>1</v>
      </c>
      <c r="E12" s="204"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05" t="s">
        <v>469</v>
      </c>
      <c r="G12" s="158"/>
      <c r="Q12" s="90">
        <v>62</v>
      </c>
    </row>
    <row customHeight="1" ht="24">
      <c r="A13" s="199"/>
      <c r="C13" s="103"/>
      <c r="D13" s="154" t="s">
        <v>1183</v>
      </c>
      <c r="E13" s="201"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5" t="s">
        <v>469</v>
      </c>
      <c r="G13" s="158"/>
      <c r="Q13" s="90">
        <v>23</v>
      </c>
    </row>
    <row customHeight="1" ht="14.699999999999998">
      <c r="A14" s="199"/>
      <c r="C14" s="103"/>
      <c r="D14" s="154" t="s">
        <v>1219</v>
      </c>
      <c r="E14" s="202"/>
      <c r="F14" s="220"/>
      <c r="G14" s="217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90">
        <v>14</v>
      </c>
    </row>
    <row customHeight="1" ht="15.75">
      <c r="A15" s="199"/>
      <c r="C15" s="103"/>
      <c r="D15" s="116"/>
      <c r="E15" s="356" t="s">
        <v>1279</v>
      </c>
      <c r="F15" s="208"/>
      <c r="G15" s="2178"/>
      <c r="Q15" s="90">
        <v>15</v>
      </c>
    </row>
    <row customHeight="1" ht="14.699999999999998">
      <c r="A16" s="199"/>
      <c r="C16" s="103"/>
      <c r="D16" s="154" t="s">
        <v>1185</v>
      </c>
      <c r="E16" s="201"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05" t="s">
        <v>469</v>
      </c>
      <c r="G16" s="344"/>
      <c r="Q16" s="90">
        <v>14</v>
      </c>
    </row>
    <row customHeight="1" ht="14.699999999999998">
      <c r="A17" s="199"/>
      <c r="C17" s="103"/>
      <c r="D17" s="154" t="s">
        <v>1227</v>
      </c>
      <c r="E17" s="202"/>
      <c r="F17" s="392"/>
      <c r="G17" s="217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90">
        <v>14</v>
      </c>
    </row>
    <row s="1642" customFormat="1" customHeight="1" ht="22.049999999999997">
      <c r="A18" s="350"/>
      <c r="B18" s="153"/>
      <c r="C18" s="314"/>
      <c r="D18" s="354"/>
      <c r="E18" s="356" t="s">
        <v>1280</v>
      </c>
      <c r="F18" s="345"/>
      <c r="G18" s="2178"/>
      <c r="I18" s="357"/>
      <c r="J18" s="357"/>
      <c r="Q18" s="349">
        <v>21</v>
      </c>
    </row>
    <row s="1642" customFormat="1" customHeight="1" ht="256.5" hidden="1">
      <c r="A19" s="350"/>
      <c r="B19" s="424"/>
      <c r="C19" s="383"/>
      <c r="D19" s="891" t="s">
        <v>1187</v>
      </c>
      <c r="E19" s="890" t="s">
        <v>1281</v>
      </c>
      <c r="F19" s="392"/>
      <c r="G19" s="344" t="s">
        <v>1282</v>
      </c>
      <c r="I19" s="507"/>
      <c r="J19" s="507"/>
      <c r="Q19" s="765">
        <v>0</v>
      </c>
    </row>
    <row s="1642" customFormat="1" customHeight="1" ht="14.699999999999998">
      <c r="A20" s="350"/>
      <c r="B20" s="153"/>
      <c r="C20" s="314"/>
      <c r="D20" s="892">
        <v>2</v>
      </c>
      <c r="E20" s="337" t="s">
        <v>1283</v>
      </c>
      <c r="F20" s="205" t="s">
        <v>469</v>
      </c>
      <c r="G20" s="344"/>
      <c r="I20" s="357"/>
      <c r="J20" s="357"/>
      <c r="Q20" s="349">
        <v>14</v>
      </c>
    </row>
    <row s="1642" customFormat="1" customHeight="1" ht="18.75" hidden="1">
      <c r="A21" s="350"/>
      <c r="B21" s="153"/>
      <c r="C21" s="314"/>
      <c r="D21" s="340" t="s">
        <v>798</v>
      </c>
      <c r="E21" s="339"/>
      <c r="F21" s="338"/>
      <c r="G21" s="348"/>
      <c r="H21" s="341"/>
      <c r="I21" s="357"/>
      <c r="J21" s="357"/>
      <c r="Q21" s="349">
        <v>0</v>
      </c>
    </row>
    <row customHeight="1" ht="15.75">
      <c r="A22" s="199"/>
      <c r="C22" s="103"/>
      <c r="D22" s="116"/>
      <c r="E22" s="210" t="s">
        <v>485</v>
      </c>
      <c r="F22" s="345"/>
      <c r="G22" s="346"/>
      <c r="Q22" s="90">
        <v>15</v>
      </c>
    </row>
    <row s="1642" customFormat="1" customHeight="1" ht="22.5" hidden="1">
      <c r="A23" s="350"/>
      <c r="B23" s="1167"/>
      <c r="C23" s="383"/>
      <c r="D23" s="1680" t="s">
        <v>99</v>
      </c>
      <c r="E23" s="204" t="s">
        <v>1284</v>
      </c>
      <c r="F23" s="1677" t="s">
        <v>469</v>
      </c>
      <c r="G23" s="352"/>
      <c r="I23" s="1631"/>
      <c r="J23" s="1631"/>
      <c r="Q23" s="1638">
        <v>0</v>
      </c>
    </row>
    <row s="1642" customFormat="1" customHeight="1" ht="14.25" hidden="1">
      <c r="A24" s="350"/>
      <c r="B24" s="1167"/>
      <c r="C24" s="383"/>
      <c r="D24" s="1680" t="s">
        <v>870</v>
      </c>
      <c r="E24" s="1679" t="s">
        <v>1285</v>
      </c>
      <c r="F24" s="1677" t="s">
        <v>469</v>
      </c>
      <c r="G24" s="344"/>
      <c r="I24" s="1631"/>
      <c r="J24" s="1631"/>
      <c r="Q24" s="1638">
        <v>0</v>
      </c>
    </row>
    <row s="1642" customFormat="1" customHeight="1" ht="14.25" hidden="1">
      <c r="A25" s="350"/>
      <c r="B25" s="1167"/>
      <c r="C25" s="383"/>
      <c r="D25" s="1680" t="s">
        <v>873</v>
      </c>
      <c r="E25" s="202"/>
      <c r="F25" s="392"/>
      <c r="G25" s="2176" t="s">
        <v>1286</v>
      </c>
      <c r="I25" s="1631"/>
      <c r="J25" s="1631"/>
      <c r="Q25" s="1638">
        <v>0</v>
      </c>
    </row>
    <row s="1642" customFormat="1" customHeight="1" ht="22.5" hidden="1">
      <c r="A26" s="350"/>
      <c r="B26" s="1167"/>
      <c r="C26" s="383"/>
      <c r="D26" s="354"/>
      <c r="E26" s="356" t="s">
        <v>1287</v>
      </c>
      <c r="F26" s="345"/>
      <c r="G26" s="2178"/>
      <c r="I26" s="1631"/>
      <c r="J26" s="1631"/>
      <c r="Q26" s="1638">
        <v>0</v>
      </c>
    </row>
    <row customHeight="1" ht="3">
      <c r="Q27" s="90">
        <v>3</v>
      </c>
    </row>
    <row customHeight="1" ht="14.699999999999998">
      <c r="D28" s="343"/>
      <c r="E28" s="342"/>
      <c r="F28" s="322"/>
      <c r="G28" s="322"/>
      <c r="H28" s="322"/>
      <c r="I28" s="322"/>
      <c r="J28" s="322"/>
      <c r="K28" s="322"/>
      <c r="L28" s="322"/>
      <c r="M28" s="322"/>
      <c r="N28" s="322"/>
      <c r="O28" s="322"/>
      <c r="P28" s="322"/>
      <c r="Q28" s="90">
        <v>14</v>
      </c>
    </row>
    <row customHeight="1" ht="14.699999999999998">
      <c r="D29" s="343"/>
      <c r="E29" s="589"/>
      <c r="Q29" s="90">
        <v>14</v>
      </c>
    </row>
    <row customHeight="1" ht="14.699999999999998">
      <c r="Q30" s="90">
        <v>14</v>
      </c>
    </row>
    <row customHeight="1" ht="14.699999999999998">
      <c r="E31" s="765"/>
      <c r="Q31" s="90">
        <v>14</v>
      </c>
    </row>
    <row customHeight="1" ht="22.5" hidden="1">
      <c r="A32" s="108" t="s">
        <v>82</v>
      </c>
      <c r="B32" s="153">
        <v>0</v>
      </c>
      <c r="C32" s="104">
        <v>3</v>
      </c>
      <c r="D32" s="90">
        <v>6</v>
      </c>
      <c r="E32" s="90">
        <v>64</v>
      </c>
      <c r="F32" s="90">
        <v>64</v>
      </c>
      <c r="G32" s="90">
        <v>140</v>
      </c>
      <c r="H32" s="90">
        <v>10</v>
      </c>
      <c r="I32" s="162">
        <v>10</v>
      </c>
      <c r="J32" s="162">
        <v>10</v>
      </c>
      <c r="K32" s="90">
        <v>10</v>
      </c>
      <c r="L32" s="90">
        <v>10</v>
      </c>
      <c r="M32" s="90">
        <v>10</v>
      </c>
      <c r="N32" s="90">
        <v>10</v>
      </c>
      <c r="O32" s="90">
        <v>10</v>
      </c>
      <c r="P32" s="90">
        <v>10</v>
      </c>
      <c r="Q32" s="90">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40F16B-3219-7692-E09C-48A37863F6B1}"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83" width="9.140625" hidden="1" customWidth="1"/>
    <col min="2" max="2" style="1373" width="9.140625" hidden="1" customWidth="1"/>
    <col min="3" max="3" style="351" width="3.00390625" customWidth="1"/>
    <col min="4" max="4" style="1642" width="6.00390625" customWidth="1"/>
    <col min="5" max="5" style="1642" width="63.00390625" customWidth="1"/>
    <col min="6" max="6" style="1642" width="1.7109375" hidden="1" customWidth="1"/>
    <col min="7" max="8" style="1642" width="35.00390625" customWidth="1"/>
    <col min="9" max="9" style="1642" width="91.00390625" customWidth="1"/>
    <col min="10" max="10" style="1642" width="68.00390625" customWidth="1"/>
    <col min="11" max="12" style="1631" width="10.00390625" customWidth="1"/>
    <col min="13" max="13" style="1642" width="10.57421875" hidden="1"/>
  </cols>
  <sheetData>
    <row customHeight="1" ht="22.5" hidden="1">
      <c r="M1" s="90" t="s">
        <v>14</v>
      </c>
    </row>
    <row s="1642" customFormat="1" customHeight="1" ht="18.75" hidden="1">
      <c r="A2" s="1690"/>
      <c r="B2" s="1167"/>
      <c r="C2" s="1737" t="s">
        <v>102</v>
      </c>
      <c r="D2" s="1680"/>
      <c r="E2" s="206"/>
      <c r="F2" s="1677"/>
      <c r="G2" s="1677" t="s">
        <v>469</v>
      </c>
      <c r="H2" s="1168"/>
      <c r="K2" s="1631"/>
      <c r="L2" s="1631"/>
      <c r="M2" s="1638">
        <v>0</v>
      </c>
    </row>
    <row s="1642" customFormat="1" customHeight="1" ht="14.25" hidden="1">
      <c r="A3" s="1369"/>
      <c r="B3" s="1167"/>
      <c r="C3" s="351"/>
      <c r="K3" s="1631"/>
      <c r="L3" s="1631"/>
      <c r="M3" s="1638">
        <v>0</v>
      </c>
    </row>
    <row s="1642" customFormat="1" customHeight="1" ht="18.75" hidden="1">
      <c r="A4" s="1690"/>
      <c r="B4" s="1167"/>
      <c r="C4" s="1737" t="s">
        <v>102</v>
      </c>
      <c r="D4" s="1680"/>
      <c r="E4" s="212" t="s">
        <v>1288</v>
      </c>
      <c r="F4" s="1677"/>
      <c r="G4" s="264"/>
      <c r="H4" s="1677" t="s">
        <v>469</v>
      </c>
      <c r="K4" s="1631"/>
      <c r="L4" s="1631"/>
      <c r="M4" s="1638">
        <v>0</v>
      </c>
    </row>
    <row s="1642" customFormat="1" customHeight="1" ht="14.25" hidden="1">
      <c r="A5" s="1369"/>
      <c r="B5" s="1167"/>
      <c r="C5" s="351"/>
      <c r="K5" s="1631"/>
      <c r="L5" s="1631"/>
      <c r="M5" s="1638">
        <v>0</v>
      </c>
    </row>
    <row s="1642" customFormat="1" customHeight="1" ht="18.75" hidden="1">
      <c r="A6" s="1690"/>
      <c r="B6" s="1167"/>
      <c r="C6" s="1737" t="s">
        <v>102</v>
      </c>
      <c r="D6" s="1680"/>
      <c r="E6" s="213" t="s">
        <v>1289</v>
      </c>
      <c r="F6" s="1677"/>
      <c r="G6" s="264"/>
      <c r="H6" s="1677" t="s">
        <v>469</v>
      </c>
      <c r="K6" s="1631"/>
      <c r="L6" s="1631"/>
      <c r="M6" s="1638">
        <v>0</v>
      </c>
    </row>
    <row s="1642" customFormat="1" customHeight="1" ht="14.25" hidden="1">
      <c r="A7" s="1369"/>
      <c r="B7" s="1167"/>
      <c r="C7" s="351"/>
      <c r="K7" s="1631"/>
      <c r="L7" s="1631"/>
      <c r="M7" s="1638">
        <v>0</v>
      </c>
    </row>
    <row s="1642" customFormat="1" customHeight="1" ht="18.75" hidden="1">
      <c r="A8" s="1690"/>
      <c r="B8" s="1167"/>
      <c r="C8" s="1737" t="s">
        <v>102</v>
      </c>
      <c r="D8" s="1680"/>
      <c r="E8" s="213" t="s">
        <v>1290</v>
      </c>
      <c r="F8" s="1677"/>
      <c r="G8" s="264"/>
      <c r="H8" s="1677" t="s">
        <v>469</v>
      </c>
      <c r="K8" s="1631"/>
      <c r="L8" s="1631"/>
      <c r="M8" s="1638">
        <v>0</v>
      </c>
    </row>
    <row s="1642" customFormat="1" customHeight="1" ht="14.25" hidden="1">
      <c r="A9" s="1369"/>
      <c r="B9" s="1167"/>
      <c r="C9" s="351"/>
      <c r="K9" s="1631"/>
      <c r="L9" s="1631"/>
      <c r="M9" s="1638">
        <v>0</v>
      </c>
    </row>
    <row s="1642" customFormat="1" customHeight="1" ht="18.75" hidden="1">
      <c r="A10" s="1690"/>
      <c r="B10" s="1167"/>
      <c r="C10" s="1737" t="s">
        <v>102</v>
      </c>
      <c r="D10" s="1680"/>
      <c r="E10" s="213" t="s">
        <v>1291</v>
      </c>
      <c r="F10" s="1677"/>
      <c r="G10" s="1681"/>
      <c r="H10" s="1677" t="s">
        <v>469</v>
      </c>
      <c r="K10" s="1631"/>
      <c r="L10" s="1631" t="s">
        <v>1292</v>
      </c>
      <c r="M10" s="1638">
        <v>0</v>
      </c>
    </row>
    <row customHeight="1" ht="14.25" hidden="1">
      <c r="M11" s="90">
        <v>0</v>
      </c>
    </row>
    <row customHeight="1" ht="14.25" hidden="1">
      <c r="M12" s="90">
        <v>0</v>
      </c>
    </row>
    <row customHeight="1" ht="14.699999999999998">
      <c r="C13" s="103"/>
      <c r="D13" s="91"/>
      <c r="E13" s="91"/>
      <c r="F13" s="91"/>
      <c r="G13" s="91"/>
      <c r="H13" s="92"/>
      <c r="I13" s="92"/>
      <c r="M13" s="90">
        <v>14</v>
      </c>
    </row>
    <row customHeight="1" ht="29.25">
      <c r="C14" s="103"/>
      <c r="D14" s="2461"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62"/>
      <c r="F14" s="2462"/>
      <c r="G14" s="2462"/>
      <c r="H14" s="2463"/>
      <c r="J14" s="1638"/>
      <c r="M14" s="90">
        <v>28</v>
      </c>
    </row>
    <row s="1642" customFormat="1" customHeight="1" ht="14.699999999999998">
      <c r="A15" s="1369"/>
      <c r="B15" s="1167"/>
      <c r="C15" s="383"/>
      <c r="D15" s="2464" t="str">
        <f>IF(org=0,"Не определено",org)</f>
        <v>ГУП "Белоблводоканал"</v>
      </c>
      <c r="E15" s="2465"/>
      <c r="F15" s="2465"/>
      <c r="G15" s="2465"/>
      <c r="H15" s="2466"/>
      <c r="J15" s="859"/>
      <c r="K15" s="1631"/>
      <c r="L15" s="1631"/>
      <c r="M15" s="1638">
        <v>14</v>
      </c>
    </row>
    <row customHeight="1" ht="14.699999999999998">
      <c r="C16" s="103"/>
      <c r="D16" s="91"/>
      <c r="E16" s="102"/>
      <c r="F16" s="102"/>
      <c r="G16" s="102"/>
      <c r="H16" s="759"/>
      <c r="I16" s="200"/>
      <c r="M16" s="90">
        <v>14</v>
      </c>
    </row>
    <row s="1642" customFormat="1" customHeight="1" ht="14.25" hidden="1">
      <c r="A17" s="1369"/>
      <c r="B17" s="1167"/>
      <c r="C17" s="383"/>
      <c r="D17" s="370"/>
      <c r="E17" s="396"/>
      <c r="F17" s="396"/>
      <c r="G17" s="396"/>
      <c r="H17" s="759"/>
      <c r="I17" s="200"/>
      <c r="K17" s="1631"/>
      <c r="L17" s="1631"/>
      <c r="M17" s="1638">
        <v>0</v>
      </c>
    </row>
    <row customHeight="1" ht="22.049999999999997">
      <c r="C18" s="103"/>
      <c r="D18" s="2216" t="s">
        <v>463</v>
      </c>
      <c r="E18" s="2216"/>
      <c r="F18" s="2216"/>
      <c r="G18" s="2216"/>
      <c r="H18" s="2216"/>
      <c r="I18" s="2396" t="s">
        <v>464</v>
      </c>
      <c r="M18" s="90">
        <v>21</v>
      </c>
    </row>
    <row customHeight="1" ht="22.049999999999997">
      <c r="C19" s="103"/>
      <c r="D19" s="112" t="s">
        <v>88</v>
      </c>
      <c r="E19" s="115" t="s">
        <v>465</v>
      </c>
      <c r="F19" s="115"/>
      <c r="G19" s="115" t="s">
        <v>466</v>
      </c>
      <c r="H19" s="115" t="s">
        <v>553</v>
      </c>
      <c r="I19" s="2396"/>
      <c r="M19" s="90">
        <v>21</v>
      </c>
    </row>
    <row customHeight="1" ht="12" hidden="1">
      <c r="C20" s="103"/>
      <c r="D20" s="94"/>
      <c r="E20" s="94"/>
      <c r="F20" s="94"/>
      <c r="G20" s="94"/>
      <c r="H20" s="94"/>
      <c r="I20" s="94"/>
      <c r="M20" s="90">
        <v>0</v>
      </c>
    </row>
    <row customHeight="1" ht="14.699999999999998">
      <c r="A21" s="1690"/>
      <c r="C21" s="103"/>
      <c r="D21" s="154">
        <v>1</v>
      </c>
      <c r="E21" s="2468" t="s">
        <v>1293</v>
      </c>
      <c r="F21" s="2468"/>
      <c r="G21" s="2468"/>
      <c r="H21" s="2468"/>
      <c r="I21" s="215"/>
      <c r="M21" s="90">
        <v>14</v>
      </c>
    </row>
    <row customHeight="1" ht="21">
      <c r="A22" s="1690"/>
      <c r="C22" s="103"/>
      <c r="D22" s="154" t="s">
        <v>1183</v>
      </c>
      <c r="E22" s="201" t="s">
        <v>1294</v>
      </c>
      <c r="F22" s="205"/>
      <c r="G22" s="1744"/>
      <c r="H22" s="205" t="s">
        <v>469</v>
      </c>
      <c r="I22" s="158" t="s">
        <v>1295</v>
      </c>
      <c r="M22" s="90">
        <v>20</v>
      </c>
    </row>
    <row customHeight="1" ht="60">
      <c r="A23" s="1690"/>
      <c r="C23" s="103"/>
      <c r="D23" s="154" t="s">
        <v>1185</v>
      </c>
      <c r="E23" s="201" t="s">
        <v>1296</v>
      </c>
      <c r="F23" s="205"/>
      <c r="G23" s="264"/>
      <c r="H23" s="220"/>
      <c r="I23" s="265" t="s">
        <v>1297</v>
      </c>
      <c r="M23" s="90">
        <v>57</v>
      </c>
    </row>
    <row customHeight="1" ht="14.699999999999998">
      <c r="A24" s="1690"/>
      <c r="B24" s="153">
        <v>3</v>
      </c>
      <c r="C24" s="103"/>
      <c r="D24" s="154">
        <v>2</v>
      </c>
      <c r="E24" s="229"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05"/>
      <c r="G24" s="205" t="s">
        <v>469</v>
      </c>
      <c r="H24" s="220"/>
      <c r="I24" s="266" t="s">
        <v>793</v>
      </c>
      <c r="M24" s="90">
        <v>14</v>
      </c>
    </row>
    <row customHeight="1" ht="48.29999999999999">
      <c r="A25" s="1690"/>
      <c r="C25" s="103"/>
      <c r="D25" s="154">
        <v>3</v>
      </c>
      <c r="E25" s="2467"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7"/>
      <c r="G25" s="2467"/>
      <c r="H25" s="2467"/>
      <c r="I25" s="263"/>
      <c r="M25" s="90">
        <v>46</v>
      </c>
    </row>
    <row customHeight="1" ht="14.699999999999998">
      <c r="A26" s="1690"/>
      <c r="C26" s="103"/>
      <c r="D26" s="154" t="s">
        <v>487</v>
      </c>
      <c r="E26" s="206"/>
      <c r="F26" s="205"/>
      <c r="G26" s="205" t="s">
        <v>469</v>
      </c>
      <c r="H26" s="220"/>
      <c r="I26" s="2176" t="s">
        <v>1298</v>
      </c>
      <c r="M26" s="90">
        <v>14</v>
      </c>
    </row>
    <row customHeight="1" ht="15.75">
      <c r="A27" s="1690" t="s">
        <v>108</v>
      </c>
      <c r="C27" s="103"/>
      <c r="D27" s="116"/>
      <c r="E27" s="210" t="s">
        <v>485</v>
      </c>
      <c r="F27" s="211"/>
      <c r="G27" s="211"/>
      <c r="H27" s="208"/>
      <c r="I27" s="2178"/>
      <c r="M27" s="90">
        <v>15</v>
      </c>
    </row>
    <row customHeight="1" ht="39.75">
      <c r="A28" s="1690"/>
      <c r="B28" s="153">
        <v>3</v>
      </c>
      <c r="C28" s="103"/>
      <c r="D28" s="154">
        <v>4</v>
      </c>
      <c r="E28" s="2467"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7"/>
      <c r="G28" s="2467"/>
      <c r="H28" s="2467"/>
      <c r="I28" s="263"/>
      <c r="M28" s="90">
        <v>38</v>
      </c>
    </row>
    <row customHeight="1" ht="21">
      <c r="A29" s="1690"/>
      <c r="C29" s="103"/>
      <c r="D29" s="154" t="s">
        <v>915</v>
      </c>
      <c r="E29" s="212" t="s">
        <v>1288</v>
      </c>
      <c r="F29" s="205"/>
      <c r="G29" s="264"/>
      <c r="H29" s="205" t="s">
        <v>469</v>
      </c>
      <c r="I29" s="2176" t="s">
        <v>1299</v>
      </c>
      <c r="M29" s="90">
        <v>20</v>
      </c>
    </row>
    <row customHeight="1" ht="15.75">
      <c r="A30" s="1690" t="s">
        <v>99</v>
      </c>
      <c r="C30" s="103"/>
      <c r="D30" s="116"/>
      <c r="E30" s="210" t="s">
        <v>485</v>
      </c>
      <c r="F30" s="211"/>
      <c r="G30" s="211"/>
      <c r="H30" s="208"/>
      <c r="I30" s="2178"/>
      <c r="M30" s="90">
        <v>15</v>
      </c>
    </row>
    <row customHeight="1" ht="31.5">
      <c r="A31" s="1690"/>
      <c r="B31" s="153">
        <v>3</v>
      </c>
      <c r="C31" s="103"/>
      <c r="D31" s="154">
        <v>5</v>
      </c>
      <c r="E31" s="2467"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7"/>
      <c r="G31" s="2467"/>
      <c r="H31" s="2467"/>
      <c r="I31" s="263"/>
      <c r="M31" s="90">
        <v>30</v>
      </c>
    </row>
    <row customHeight="1" ht="27.299999999999997">
      <c r="A32" s="1690"/>
      <c r="C32" s="103"/>
      <c r="D32" s="154" t="s">
        <v>476</v>
      </c>
      <c r="E32" s="2410"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10"/>
      <c r="G32" s="2410"/>
      <c r="H32" s="2410"/>
      <c r="I32" s="263"/>
      <c r="M32" s="90">
        <v>26</v>
      </c>
    </row>
    <row customHeight="1" ht="14.699999999999998">
      <c r="A33" s="1690"/>
      <c r="C33" s="103"/>
      <c r="D33" s="154" t="s">
        <v>1300</v>
      </c>
      <c r="E33" s="213" t="s">
        <v>1289</v>
      </c>
      <c r="F33" s="205"/>
      <c r="G33" s="264"/>
      <c r="H33" s="205" t="s">
        <v>469</v>
      </c>
      <c r="I33" s="2176" t="s">
        <v>1301</v>
      </c>
      <c r="M33" s="90">
        <v>14</v>
      </c>
    </row>
    <row customHeight="1" ht="15.75">
      <c r="A34" s="1690" t="s">
        <v>90</v>
      </c>
      <c r="C34" s="103"/>
      <c r="D34" s="116"/>
      <c r="E34" s="211" t="s">
        <v>485</v>
      </c>
      <c r="F34" s="207"/>
      <c r="G34" s="207"/>
      <c r="H34" s="208"/>
      <c r="I34" s="2178"/>
      <c r="M34" s="90">
        <v>15</v>
      </c>
    </row>
    <row customHeight="1" ht="25.2">
      <c r="A35" s="1690"/>
      <c r="C35" s="103"/>
      <c r="D35" s="154" t="s">
        <v>1043</v>
      </c>
      <c r="E35" s="2410"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10"/>
      <c r="G35" s="2410"/>
      <c r="H35" s="2410"/>
      <c r="I35" s="263"/>
      <c r="M35" s="90">
        <v>24</v>
      </c>
    </row>
    <row customHeight="1" ht="14.699999999999998">
      <c r="A36" s="1690"/>
      <c r="C36" s="103"/>
      <c r="D36" s="154" t="s">
        <v>1302</v>
      </c>
      <c r="E36" s="213" t="s">
        <v>1290</v>
      </c>
      <c r="F36" s="205"/>
      <c r="G36" s="264"/>
      <c r="H36" s="205" t="s">
        <v>469</v>
      </c>
      <c r="I36" s="2150" t="s">
        <v>1303</v>
      </c>
      <c r="M36" s="90">
        <v>14</v>
      </c>
    </row>
    <row customHeight="1" ht="15.75">
      <c r="A37" s="1690" t="s">
        <v>91</v>
      </c>
      <c r="C37" s="103"/>
      <c r="D37" s="116"/>
      <c r="E37" s="211" t="s">
        <v>485</v>
      </c>
      <c r="F37" s="207"/>
      <c r="G37" s="207"/>
      <c r="H37" s="208"/>
      <c r="I37" s="2150"/>
      <c r="M37" s="90">
        <v>15</v>
      </c>
    </row>
    <row customHeight="1" ht="27.299999999999997">
      <c r="A38" s="1690"/>
      <c r="C38" s="103"/>
      <c r="D38" s="154" t="s">
        <v>1044</v>
      </c>
      <c r="E38" s="2410"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10"/>
      <c r="G38" s="2410"/>
      <c r="H38" s="2410"/>
      <c r="I38" s="263"/>
      <c r="M38" s="90">
        <v>26</v>
      </c>
    </row>
    <row customHeight="1" ht="14.699999999999998">
      <c r="A39" s="1690"/>
      <c r="C39" s="103"/>
      <c r="D39" s="154" t="s">
        <v>1045</v>
      </c>
      <c r="E39" s="213" t="s">
        <v>1291</v>
      </c>
      <c r="F39" s="205"/>
      <c r="G39" s="214"/>
      <c r="H39" s="205" t="s">
        <v>469</v>
      </c>
      <c r="I39" s="2176" t="s">
        <v>1304</v>
      </c>
      <c r="L39" s="162" t="s">
        <v>1292</v>
      </c>
      <c r="M39" s="90">
        <v>14</v>
      </c>
    </row>
    <row customHeight="1" ht="15.75">
      <c r="A40" s="1690" t="s">
        <v>119</v>
      </c>
      <c r="C40" s="103"/>
      <c r="D40" s="116"/>
      <c r="E40" s="211" t="s">
        <v>485</v>
      </c>
      <c r="F40" s="207"/>
      <c r="G40" s="207"/>
      <c r="H40" s="208"/>
      <c r="I40" s="2178"/>
      <c r="M40" s="90">
        <v>15</v>
      </c>
    </row>
    <row s="1830" customFormat="1" customHeight="1" ht="3">
      <c r="A41" s="1690"/>
      <c r="K41" s="203"/>
      <c r="L41" s="203"/>
      <c r="M41" s="147">
        <v>3</v>
      </c>
    </row>
    <row customHeight="1" ht="26.25">
      <c r="D42" s="1688" t="s">
        <v>965</v>
      </c>
      <c r="E42" s="2292"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92"/>
      <c r="G42" s="2292"/>
      <c r="H42" s="2292"/>
      <c r="I42" s="2292"/>
      <c r="M42" s="90">
        <v>25</v>
      </c>
    </row>
    <row customHeight="1" ht="22.5" hidden="1">
      <c r="A43" s="1369" t="s">
        <v>82</v>
      </c>
      <c r="B43" s="153">
        <v>0</v>
      </c>
      <c r="C43" s="104">
        <v>3</v>
      </c>
      <c r="D43" s="90">
        <v>6</v>
      </c>
      <c r="E43" s="90">
        <v>63</v>
      </c>
      <c r="F43" s="90">
        <v>0</v>
      </c>
      <c r="G43" s="90">
        <v>35</v>
      </c>
      <c r="H43" s="90">
        <v>35</v>
      </c>
      <c r="I43" s="90">
        <v>91</v>
      </c>
      <c r="J43" s="90">
        <v>68</v>
      </c>
      <c r="K43" s="162">
        <v>10</v>
      </c>
      <c r="L43" s="162">
        <v>10</v>
      </c>
      <c r="M43" s="90">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53DABD-6D79-E188-B56D-046C1BB0938D}"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F84" sqref="F84:L84"/>
    </sheetView>
  </sheetViews>
  <sheetFormatPr defaultColWidth="10.57421875" customHeight="1" defaultRowHeight="14.25"/>
  <cols>
    <col min="1" max="2" style="1786" width="25.140625" hidden="1" customWidth="1"/>
    <col min="3" max="3" style="1694" width="9.140625" hidden="1" customWidth="1"/>
    <col min="4" max="4" style="351" width="3.00390625" customWidth="1"/>
    <col min="5" max="5" style="1642" width="6.00390625" customWidth="1"/>
    <col min="6" max="6" style="1642" width="46.7109375" customWidth="1"/>
    <col min="7" max="7" style="1642" width="35.00390625" customWidth="1"/>
    <col min="8" max="8" style="1642" width="3.00390625" customWidth="1"/>
    <col min="9" max="9" style="1642" width="13.28125" customWidth="1"/>
    <col min="10" max="10" style="1642" width="11.00390625" customWidth="1"/>
    <col min="11" max="12" style="1642" width="35.00390625" customWidth="1"/>
    <col min="13" max="13" style="1642" width="84.00390625" customWidth="1"/>
    <col min="14" max="14" style="1642" width="10.00390625" customWidth="1"/>
    <col min="15" max="16" style="1631" width="10.00390625" customWidth="1"/>
    <col min="17" max="33" style="1642" width="10.00390625" customWidth="1"/>
    <col min="34" max="34" style="1642" width="10.57421875" hidden="1"/>
  </cols>
  <sheetData>
    <row s="1642" customFormat="1" customHeight="1" ht="22.5" hidden="1">
      <c r="A1" s="1786"/>
      <c r="B1" s="1786"/>
      <c r="C1" s="376"/>
      <c r="D1" s="351"/>
      <c r="N1" s="1643">
        <f>_xlfn.IFERROR(MATCH("метод экономически обоснованных расходов (затрат)",OFFER_METHOD,0),0)</f>
        <v>0</v>
      </c>
      <c r="O1" s="1631"/>
      <c r="P1" s="1631"/>
      <c r="T1" s="838"/>
      <c r="AG1" s="262"/>
      <c r="AH1" s="1638" t="s">
        <v>14</v>
      </c>
    </row>
    <row s="1642" customFormat="1" customHeight="1" ht="18.75" hidden="1">
      <c r="A2" s="1787" t="s">
        <v>241</v>
      </c>
      <c r="B2" s="1787" t="s">
        <v>242</v>
      </c>
      <c r="C2" s="376"/>
      <c r="D2" s="351"/>
      <c r="E2" s="1038"/>
      <c r="F2" s="1038"/>
      <c r="G2" s="2434" t="str">
        <f>INDEX(PT_DIFFERENTIATION_NTAR,MATCH(B2,PT_DIFFERENTIATION_NTAR_ID,0))</f>
        <v/>
      </c>
      <c r="H2" s="1871"/>
      <c r="I2" s="1746"/>
      <c r="J2" s="1780"/>
      <c r="K2" s="1872"/>
      <c r="L2" s="1871" t="s">
        <v>469</v>
      </c>
      <c r="M2" s="1882"/>
      <c r="N2" s="341"/>
      <c r="O2" s="1631"/>
      <c r="P2" s="1631"/>
      <c r="AH2" s="1638">
        <v>0</v>
      </c>
    </row>
    <row s="1642" customFormat="1" customHeight="1" ht="18.75" hidden="1">
      <c r="A3" s="1787"/>
      <c r="B3" s="1787"/>
      <c r="C3" s="376" t="s">
        <v>1305</v>
      </c>
      <c r="D3" s="351"/>
      <c r="E3" s="1038"/>
      <c r="F3" s="1038"/>
      <c r="G3" s="2434"/>
      <c r="H3" s="1507"/>
      <c r="I3" s="658" t="s">
        <v>1306</v>
      </c>
      <c r="J3" s="578"/>
      <c r="K3" s="1507"/>
      <c r="L3" s="221"/>
      <c r="M3" s="1882"/>
      <c r="N3" s="341"/>
      <c r="O3" s="1631"/>
      <c r="P3" s="1631"/>
      <c r="AH3" s="1638">
        <v>0</v>
      </c>
    </row>
    <row s="1642" customFormat="1" customHeight="1" ht="14.25" hidden="1">
      <c r="A4" s="1786"/>
      <c r="B4" s="1786"/>
      <c r="C4" s="376"/>
      <c r="D4" s="351"/>
      <c r="N4" s="1643">
        <f>_xlfn.IFERROR(MATCH("метод экономически обоснованных расходов (затрат)",OFFER_METHOD,0),0)</f>
        <v>0</v>
      </c>
      <c r="O4" s="1631"/>
      <c r="P4" s="1631"/>
      <c r="T4" s="838"/>
      <c r="AG4" s="262"/>
      <c r="AH4" s="1638">
        <v>0</v>
      </c>
    </row>
    <row s="1642" customFormat="1" customHeight="1" ht="18.75" hidden="1">
      <c r="A5" s="1787" t="s">
        <v>241</v>
      </c>
      <c r="B5" s="1787" t="s">
        <v>242</v>
      </c>
      <c r="C5" s="376"/>
      <c r="D5" s="351"/>
      <c r="E5" s="1038"/>
      <c r="F5" s="1038"/>
      <c r="G5" s="2434" t="str">
        <f>INDEX(PT_DIFFERENTIATION_NTAR,MATCH(B5,PT_DIFFERENTIATION_NTAR_ID,0))</f>
        <v/>
      </c>
      <c r="H5" s="1871"/>
      <c r="I5" s="1746"/>
      <c r="J5" s="1780"/>
      <c r="K5" s="1785"/>
      <c r="L5" s="1871" t="s">
        <v>469</v>
      </c>
      <c r="M5" s="1882"/>
      <c r="N5" s="341"/>
      <c r="O5" s="1631"/>
      <c r="P5" s="1631"/>
      <c r="AH5" s="1638">
        <v>0</v>
      </c>
    </row>
    <row s="1642" customFormat="1" customHeight="1" ht="18.75" hidden="1">
      <c r="A6" s="1787"/>
      <c r="B6" s="1787"/>
      <c r="C6" s="376" t="s">
        <v>1307</v>
      </c>
      <c r="D6" s="351"/>
      <c r="E6" s="1038"/>
      <c r="F6" s="1038"/>
      <c r="G6" s="2434"/>
      <c r="H6" s="1507"/>
      <c r="I6" s="658" t="s">
        <v>1306</v>
      </c>
      <c r="J6" s="578"/>
      <c r="K6" s="1507"/>
      <c r="L6" s="221"/>
      <c r="M6" s="1882"/>
      <c r="N6" s="341"/>
      <c r="O6" s="1631"/>
      <c r="P6" s="1631"/>
      <c r="AH6" s="1638">
        <v>0</v>
      </c>
    </row>
    <row s="1642" customFormat="1" customHeight="1" ht="14.25" hidden="1">
      <c r="A7" s="1786"/>
      <c r="B7" s="1786"/>
      <c r="C7" s="376"/>
      <c r="D7" s="351"/>
      <c r="N7" s="1643">
        <f>_xlfn.IFERROR(MATCH("метод экономически обоснованных расходов (затрат)",OFFER_METHOD,0),0)</f>
        <v>0</v>
      </c>
      <c r="O7" s="1631"/>
      <c r="P7" s="1631"/>
      <c r="T7" s="838"/>
      <c r="AG7" s="262"/>
      <c r="AH7" s="1638">
        <v>0</v>
      </c>
    </row>
    <row s="1642" customFormat="1" customHeight="1" ht="56.25" hidden="1">
      <c r="A8" s="1787"/>
      <c r="B8" s="1787"/>
      <c r="C8" s="376"/>
      <c r="D8" s="351"/>
      <c r="E8" s="1038"/>
      <c r="F8" s="1038"/>
      <c r="G8" s="1038"/>
      <c r="H8" s="1778"/>
      <c r="I8" s="1746"/>
      <c r="J8" s="1780"/>
      <c r="K8" s="1872"/>
      <c r="L8" s="1778" t="s">
        <v>469</v>
      </c>
      <c r="M8" s="1882"/>
      <c r="N8" s="341"/>
      <c r="O8" s="1631"/>
      <c r="P8" s="1631"/>
      <c r="AH8" s="1638">
        <v>0</v>
      </c>
    </row>
    <row customHeight="1" ht="14.25" hidden="1">
      <c r="T9" s="404"/>
      <c r="AG9" s="262"/>
      <c r="AH9" s="381">
        <v>0</v>
      </c>
    </row>
    <row s="1642" customFormat="1" customHeight="1" ht="56.25" hidden="1">
      <c r="A10" s="1787"/>
      <c r="B10" s="1787"/>
      <c r="C10" s="376"/>
      <c r="D10" s="351"/>
      <c r="E10" s="1038"/>
      <c r="F10" s="1038"/>
      <c r="G10" s="1038"/>
      <c r="H10" s="1777"/>
      <c r="I10" s="1746"/>
      <c r="J10" s="1780"/>
      <c r="K10" s="1785"/>
      <c r="L10" s="1778" t="s">
        <v>469</v>
      </c>
      <c r="M10" s="1882"/>
      <c r="N10" s="341"/>
      <c r="O10" s="1631"/>
      <c r="P10" s="1631"/>
      <c r="AH10" s="1638">
        <v>0</v>
      </c>
    </row>
    <row customHeight="1" ht="14.25" hidden="1">
      <c r="AH11" s="381">
        <v>0</v>
      </c>
    </row>
    <row customHeight="1" ht="14.25" hidden="1">
      <c r="AH12" s="381">
        <v>0</v>
      </c>
    </row>
    <row customHeight="1" ht="6.3">
      <c r="D13" s="383"/>
      <c r="E13" s="370"/>
      <c r="F13" s="370"/>
      <c r="G13" s="370"/>
      <c r="H13" s="370"/>
      <c r="I13" s="370"/>
      <c r="J13" s="370"/>
      <c r="K13" s="370"/>
      <c r="L13" s="92"/>
      <c r="M13" s="92"/>
      <c r="AH13" s="381">
        <v>6</v>
      </c>
    </row>
    <row customHeight="1" ht="14.699999999999998">
      <c r="D14" s="383"/>
      <c r="E14" s="2472"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72"/>
      <c r="G14" s="2472"/>
      <c r="H14" s="2472"/>
      <c r="I14" s="2472"/>
      <c r="J14" s="2472"/>
      <c r="K14" s="2472"/>
      <c r="L14" s="2472"/>
      <c r="M14" s="227"/>
      <c r="AH14" s="381">
        <v>14</v>
      </c>
    </row>
    <row customHeight="1" ht="6.3">
      <c r="D15" s="383"/>
      <c r="E15" s="370"/>
      <c r="F15" s="396"/>
      <c r="G15" s="396"/>
      <c r="H15" s="396"/>
      <c r="I15" s="396"/>
      <c r="J15" s="396"/>
      <c r="K15" s="396"/>
      <c r="L15" s="329"/>
      <c r="M15" s="200"/>
      <c r="AH15" s="381">
        <v>6</v>
      </c>
    </row>
    <row customHeight="1" ht="24">
      <c r="D16" s="383"/>
      <c r="E16" s="370"/>
      <c r="F16" s="312" t="str">
        <f>"Дата подачи заявления об "&amp;IF(TITLE_DATE_PR_CHANGE="","утверждении","изменении")&amp;" тарифов"</f>
        <v>Дата подачи заявления об изменении тарифов</v>
      </c>
      <c r="G16" s="2271" t="str">
        <f>IF(TITLE_DATE_PR_CHANGE="",IF(TITLE_DATE_PR="","",TITLE_DATE_PR),TITLE_DATE_PR_CHANGE)</f>
        <v>45432</v>
      </c>
      <c r="H16" s="2271"/>
      <c r="I16" s="2271"/>
      <c r="J16" s="2271"/>
      <c r="K16" s="2271"/>
      <c r="L16" s="2271"/>
      <c r="M16" s="405"/>
      <c r="N16" s="333"/>
      <c r="AH16" s="381">
        <v>23</v>
      </c>
    </row>
    <row customHeight="1" ht="24">
      <c r="D17" s="383"/>
      <c r="E17" s="370"/>
      <c r="F17" s="312" t="str">
        <f>"Номер подачи заявления об "&amp;IF(TITLE_DATE_PR_CHANGE="","утверждении","изменении")&amp;" тарифов"</f>
        <v>Номер подачи заявления об изменении тарифов</v>
      </c>
      <c r="G17" s="2258" t="str">
        <f>IF(TITLE_NUMBER_PR_CHANGE="",IF(TITLE_NUMBER_PR="","",TITLE_NUMBER_PR),TITLE_NUMBER_PR_CHANGE)</f>
        <v>29-12/1427</v>
      </c>
      <c r="H17" s="2258"/>
      <c r="I17" s="2258"/>
      <c r="J17" s="2258"/>
      <c r="K17" s="2258"/>
      <c r="L17" s="2258"/>
      <c r="M17" s="405"/>
      <c r="N17" s="333"/>
      <c r="AH17" s="381">
        <v>23</v>
      </c>
    </row>
    <row customHeight="1" ht="14.699999999999998">
      <c r="D18" s="383"/>
      <c r="E18" s="370"/>
      <c r="F18" s="396"/>
      <c r="G18" s="396"/>
      <c r="H18" s="396"/>
      <c r="I18" s="396"/>
      <c r="J18" s="396"/>
      <c r="K18" s="396"/>
      <c r="L18" s="759"/>
      <c r="M18" s="200"/>
      <c r="AH18" s="381">
        <v>14</v>
      </c>
    </row>
    <row customHeight="1" ht="22.049999999999997">
      <c r="D19" s="383"/>
      <c r="E19" s="2216" t="s">
        <v>463</v>
      </c>
      <c r="F19" s="2216"/>
      <c r="G19" s="2216"/>
      <c r="H19" s="2216"/>
      <c r="I19" s="2216"/>
      <c r="J19" s="2216"/>
      <c r="K19" s="2216"/>
      <c r="L19" s="2216"/>
      <c r="M19" s="2396" t="s">
        <v>464</v>
      </c>
      <c r="AH19" s="381">
        <v>21</v>
      </c>
    </row>
    <row customHeight="1" ht="22.049999999999997">
      <c r="D20" s="383"/>
      <c r="E20" s="2284" t="s">
        <v>88</v>
      </c>
      <c r="F20" s="2231" t="s">
        <v>214</v>
      </c>
      <c r="G20" s="2231" t="s">
        <v>215</v>
      </c>
      <c r="H20" s="2393" t="s">
        <v>1308</v>
      </c>
      <c r="I20" s="2394"/>
      <c r="J20" s="2440"/>
      <c r="K20" s="2231" t="s">
        <v>466</v>
      </c>
      <c r="L20" s="2231" t="s">
        <v>553</v>
      </c>
      <c r="M20" s="2396"/>
      <c r="AH20" s="381">
        <v>21</v>
      </c>
    </row>
    <row customHeight="1" ht="22.049999999999997">
      <c r="D21" s="383"/>
      <c r="E21" s="2286"/>
      <c r="F21" s="2232"/>
      <c r="G21" s="2232"/>
      <c r="H21" s="2225" t="s">
        <v>1309</v>
      </c>
      <c r="I21" s="2227"/>
      <c r="J21" s="115" t="s">
        <v>1310</v>
      </c>
      <c r="K21" s="2232"/>
      <c r="L21" s="2232"/>
      <c r="M21" s="2396"/>
      <c r="AH21" s="381">
        <v>21</v>
      </c>
    </row>
    <row customHeight="1" ht="12.75">
      <c r="D22" s="383"/>
      <c r="E22" s="288"/>
      <c r="F22" s="288"/>
      <c r="G22" s="288"/>
      <c r="H22" s="2474"/>
      <c r="I22" s="2474"/>
      <c r="J22" s="288"/>
      <c r="K22" s="288"/>
      <c r="L22" s="288"/>
      <c r="M22" s="288"/>
      <c r="AH22" s="381">
        <v>12</v>
      </c>
    </row>
    <row customHeight="1" ht="19.95">
      <c r="A23" s="1787"/>
      <c r="B23" s="1787"/>
      <c r="D23" s="383"/>
      <c r="E23" s="1873" t="s">
        <v>108</v>
      </c>
      <c r="F23" s="2475" t="str">
        <f>"Предлагаемый метод регулирования"&amp;IF(TEMPLATE_SPHERE="HEAT"," в сфере "&amp;TEMPLATE_SPHERE_RUS,"")</f>
        <v>Предлагаемый метод регулирования</v>
      </c>
      <c r="G23" s="2476"/>
      <c r="H23" s="2468"/>
      <c r="I23" s="2468"/>
      <c r="J23" s="2468"/>
      <c r="K23" s="2476" t="s">
        <v>469</v>
      </c>
      <c r="L23" s="2468"/>
      <c r="M23" s="1776"/>
      <c r="N23" s="341"/>
      <c r="AH23" s="381">
        <v>19</v>
      </c>
    </row>
    <row customHeight="1" ht="60.75" hidden="1">
      <c r="A24" s="1787" t="s">
        <v>241</v>
      </c>
      <c r="B24" s="1787" t="s">
        <v>242</v>
      </c>
      <c r="D24" s="2473"/>
      <c r="E24" s="2211"/>
      <c r="F24" s="2477"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34" t="str">
        <f>INDEX(PT_DIFFERENTIATION_NTAR,MATCH(B24,PT_DIFFERENTIATION_NTAR_ID,0))</f>
        <v/>
      </c>
      <c r="H24" s="1869"/>
      <c r="I24" s="1746"/>
      <c r="J24" s="1780"/>
      <c r="K24" s="1872"/>
      <c r="L24" s="1775" t="s">
        <v>469</v>
      </c>
      <c r="M24" s="217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41"/>
      <c r="AH24" s="381">
        <v>0</v>
      </c>
    </row>
    <row s="1642" customFormat="1" customHeight="1" ht="18.75" hidden="1">
      <c r="A25" s="1787"/>
      <c r="B25" s="1787"/>
      <c r="C25" s="376" t="s">
        <v>1305</v>
      </c>
      <c r="D25" s="2473"/>
      <c r="E25" s="2211"/>
      <c r="F25" s="2477"/>
      <c r="G25" s="2434"/>
      <c r="H25" s="1507"/>
      <c r="I25" s="658" t="s">
        <v>1306</v>
      </c>
      <c r="J25" s="578"/>
      <c r="K25" s="1507"/>
      <c r="L25" s="221"/>
      <c r="M25" s="2177"/>
      <c r="N25" s="341"/>
      <c r="O25" s="1631"/>
      <c r="P25" s="1631"/>
      <c r="AH25" s="1638">
        <v>0</v>
      </c>
    </row>
    <row customHeight="1" ht="0.75" hidden="1">
      <c r="A26" s="1787"/>
      <c r="B26" s="1787"/>
      <c r="C26" s="376" t="s">
        <v>1311</v>
      </c>
      <c r="D26" s="2473"/>
      <c r="E26" s="2211"/>
      <c r="F26" s="2390"/>
      <c r="G26" s="407"/>
      <c r="H26" s="1507"/>
      <c r="I26" s="402"/>
      <c r="J26" s="356"/>
      <c r="K26" s="1507"/>
      <c r="L26" s="208"/>
      <c r="M26" s="2177"/>
      <c r="N26" s="341"/>
      <c r="AH26" s="381">
        <v>0</v>
      </c>
    </row>
    <row s="1642" customFormat="1" customHeight="1" ht="45" hidden="1">
      <c r="A27" s="1787" t="s">
        <v>246</v>
      </c>
      <c r="B27" s="1787" t="s">
        <v>247</v>
      </c>
      <c r="C27" s="376"/>
      <c r="D27" s="2469"/>
      <c r="E27" s="2470"/>
      <c r="F27" s="2471" t="str">
        <f>INDEX(PT_DIFFERENTIATION_VTAR,MATCH(A27,PT_DIFFERENTIATION_VTAR_ID,0))</f>
        <v/>
      </c>
      <c r="G27" s="2434" t="str">
        <f>INDEX(PT_DIFFERENTIATION_NTAR,MATCH(B27,PT_DIFFERENTIATION_NTAR_ID,0))</f>
        <v/>
      </c>
      <c r="H27" s="1869"/>
      <c r="I27" s="1746"/>
      <c r="J27" s="1780"/>
      <c r="K27" s="1872"/>
      <c r="L27" s="1869" t="s">
        <v>469</v>
      </c>
      <c r="M27" s="2177"/>
      <c r="N27" s="341"/>
      <c r="O27" s="1631"/>
      <c r="P27" s="1631"/>
      <c r="AH27" s="1638">
        <v>0</v>
      </c>
    </row>
    <row s="1642" customFormat="1" customHeight="1" ht="18.75" hidden="1">
      <c r="A28" s="1787"/>
      <c r="B28" s="1787"/>
      <c r="C28" s="376" t="s">
        <v>1305</v>
      </c>
      <c r="D28" s="2469"/>
      <c r="E28" s="2470"/>
      <c r="F28" s="2471"/>
      <c r="G28" s="2434"/>
      <c r="H28" s="1507"/>
      <c r="I28" s="658" t="s">
        <v>1306</v>
      </c>
      <c r="J28" s="578"/>
      <c r="K28" s="1507"/>
      <c r="L28" s="221"/>
      <c r="M28" s="2177"/>
      <c r="N28" s="341"/>
      <c r="O28" s="1631"/>
      <c r="P28" s="1631"/>
      <c r="AH28" s="1638">
        <v>0</v>
      </c>
    </row>
    <row s="1642" customFormat="1" customHeight="1" ht="0.75" hidden="1">
      <c r="A29" s="1787"/>
      <c r="B29" s="1787"/>
      <c r="C29" s="376" t="s">
        <v>1311</v>
      </c>
      <c r="D29" s="2469"/>
      <c r="E29" s="2211"/>
      <c r="F29" s="2390"/>
      <c r="G29" s="407"/>
      <c r="H29" s="1507"/>
      <c r="I29" s="658"/>
      <c r="J29" s="578"/>
      <c r="K29" s="1507"/>
      <c r="L29" s="221"/>
      <c r="M29" s="2177"/>
      <c r="N29" s="341"/>
      <c r="O29" s="1631"/>
      <c r="P29" s="1631"/>
      <c r="AH29" s="1638">
        <v>0</v>
      </c>
    </row>
    <row s="1642" customFormat="1" customHeight="1" ht="45" hidden="1">
      <c r="A30" s="1787" t="s">
        <v>253</v>
      </c>
      <c r="B30" s="1787" t="s">
        <v>254</v>
      </c>
      <c r="C30" s="376"/>
      <c r="D30" s="2469"/>
      <c r="E30" s="2211"/>
      <c r="F30" s="2390"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34" t="str">
        <f>INDEX(PT_DIFFERENTIATION_NTAR,MATCH(B30,PT_DIFFERENTIATION_NTAR_ID,0))</f>
        <v/>
      </c>
      <c r="H30" s="1869"/>
      <c r="I30" s="1746"/>
      <c r="J30" s="1780"/>
      <c r="K30" s="1872"/>
      <c r="L30" s="1869" t="s">
        <v>469</v>
      </c>
      <c r="M30" s="2177"/>
      <c r="N30" s="341"/>
      <c r="O30" s="1631"/>
      <c r="P30" s="1631"/>
      <c r="AH30" s="1638">
        <v>0</v>
      </c>
    </row>
    <row s="1642" customFormat="1" customHeight="1" ht="18.75" hidden="1">
      <c r="A31" s="1787"/>
      <c r="B31" s="1787"/>
      <c r="C31" s="376" t="s">
        <v>1305</v>
      </c>
      <c r="D31" s="2469"/>
      <c r="E31" s="2211"/>
      <c r="F31" s="2390"/>
      <c r="G31" s="2434"/>
      <c r="H31" s="1507"/>
      <c r="I31" s="658" t="s">
        <v>1306</v>
      </c>
      <c r="J31" s="578"/>
      <c r="K31" s="1507"/>
      <c r="L31" s="221"/>
      <c r="M31" s="2177"/>
      <c r="N31" s="341"/>
      <c r="O31" s="1631"/>
      <c r="P31" s="1631"/>
      <c r="AH31" s="1638">
        <v>0</v>
      </c>
    </row>
    <row s="1642" customFormat="1" customHeight="1" ht="0.75" hidden="1">
      <c r="A32" s="1787"/>
      <c r="B32" s="1787"/>
      <c r="C32" s="376" t="s">
        <v>1311</v>
      </c>
      <c r="D32" s="2469"/>
      <c r="E32" s="2211"/>
      <c r="F32" s="2390"/>
      <c r="G32" s="407"/>
      <c r="H32" s="1507"/>
      <c r="I32" s="658"/>
      <c r="J32" s="578"/>
      <c r="K32" s="1507"/>
      <c r="L32" s="221"/>
      <c r="M32" s="2177"/>
      <c r="N32" s="341"/>
      <c r="O32" s="1631"/>
      <c r="P32" s="1631"/>
      <c r="AH32" s="1638">
        <v>0</v>
      </c>
    </row>
    <row s="1642" customFormat="1" customHeight="1" ht="45" hidden="1">
      <c r="A33" s="1787" t="s">
        <v>259</v>
      </c>
      <c r="B33" s="1787" t="s">
        <v>260</v>
      </c>
      <c r="C33" s="376"/>
      <c r="D33" s="2469"/>
      <c r="E33" s="2211"/>
      <c r="F33" s="2390"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34" t="str">
        <f>INDEX(PT_DIFFERENTIATION_NTAR,MATCH(B33,PT_DIFFERENTIATION_NTAR_ID,0))</f>
        <v/>
      </c>
      <c r="H33" s="1869"/>
      <c r="I33" s="1746"/>
      <c r="J33" s="1780"/>
      <c r="K33" s="1872"/>
      <c r="L33" s="1869" t="s">
        <v>469</v>
      </c>
      <c r="M33" s="2177"/>
      <c r="N33" s="341"/>
      <c r="O33" s="1631"/>
      <c r="P33" s="1631"/>
      <c r="AH33" s="1638">
        <v>0</v>
      </c>
    </row>
    <row s="1642" customFormat="1" customHeight="1" ht="18.75" hidden="1">
      <c r="A34" s="1787"/>
      <c r="B34" s="1787"/>
      <c r="C34" s="376" t="s">
        <v>1305</v>
      </c>
      <c r="D34" s="2469"/>
      <c r="E34" s="2211"/>
      <c r="F34" s="2390"/>
      <c r="G34" s="2434"/>
      <c r="H34" s="1507"/>
      <c r="I34" s="658" t="s">
        <v>1306</v>
      </c>
      <c r="J34" s="578"/>
      <c r="K34" s="1507"/>
      <c r="L34" s="221"/>
      <c r="M34" s="2177"/>
      <c r="N34" s="341"/>
      <c r="O34" s="1631"/>
      <c r="P34" s="1631"/>
      <c r="AH34" s="1638">
        <v>0</v>
      </c>
    </row>
    <row s="1642" customFormat="1" customHeight="1" ht="0.75" hidden="1">
      <c r="A35" s="1787"/>
      <c r="B35" s="1787"/>
      <c r="C35" s="376" t="s">
        <v>1311</v>
      </c>
      <c r="D35" s="2469"/>
      <c r="E35" s="2211"/>
      <c r="F35" s="2390"/>
      <c r="G35" s="407"/>
      <c r="H35" s="1507"/>
      <c r="I35" s="658"/>
      <c r="J35" s="578"/>
      <c r="K35" s="1507"/>
      <c r="L35" s="221"/>
      <c r="M35" s="2177"/>
      <c r="N35" s="341"/>
      <c r="O35" s="1631"/>
      <c r="P35" s="1631"/>
      <c r="AH35" s="1638">
        <v>0</v>
      </c>
    </row>
    <row s="1642" customFormat="1" customHeight="1" ht="18.75" hidden="1">
      <c r="A36" s="1787" t="s">
        <v>265</v>
      </c>
      <c r="B36" s="1787" t="s">
        <v>266</v>
      </c>
      <c r="C36" s="376"/>
      <c r="D36" s="2469"/>
      <c r="E36" s="2211"/>
      <c r="F36" s="2390" t="str">
        <f>INDEX(PT_DIFFERENTIATION_VTAR,MATCH(A36,PT_DIFFERENTIATION_VTAR_ID,0))</f>
        <v>Тарифы на услуги по передаче тепловой энергии</v>
      </c>
      <c r="G36" s="2434" t="str">
        <f>INDEX(PT_DIFFERENTIATION_NTAR,MATCH(B36,PT_DIFFERENTIATION_NTAR_ID,0))</f>
        <v/>
      </c>
      <c r="H36" s="1869"/>
      <c r="I36" s="1746"/>
      <c r="J36" s="1780"/>
      <c r="K36" s="1872"/>
      <c r="L36" s="1869" t="s">
        <v>469</v>
      </c>
      <c r="M36" s="2177"/>
      <c r="N36" s="341"/>
      <c r="O36" s="1631"/>
      <c r="P36" s="1631"/>
      <c r="AH36" s="1638">
        <v>0</v>
      </c>
    </row>
    <row s="1642" customFormat="1" customHeight="1" ht="18.75" hidden="1">
      <c r="A37" s="1787"/>
      <c r="B37" s="1787"/>
      <c r="C37" s="376" t="s">
        <v>1305</v>
      </c>
      <c r="D37" s="2469"/>
      <c r="E37" s="2211"/>
      <c r="F37" s="2390"/>
      <c r="G37" s="2434"/>
      <c r="H37" s="1507"/>
      <c r="I37" s="658" t="s">
        <v>1306</v>
      </c>
      <c r="J37" s="578"/>
      <c r="K37" s="1507"/>
      <c r="L37" s="221"/>
      <c r="M37" s="2177"/>
      <c r="N37" s="341"/>
      <c r="O37" s="1631"/>
      <c r="P37" s="1631"/>
      <c r="AH37" s="1638">
        <v>0</v>
      </c>
    </row>
    <row s="1642" customFormat="1" customHeight="1" ht="0.75" hidden="1">
      <c r="A38" s="1787"/>
      <c r="B38" s="1787"/>
      <c r="C38" s="376" t="s">
        <v>1311</v>
      </c>
      <c r="D38" s="2469"/>
      <c r="E38" s="2211"/>
      <c r="F38" s="2390"/>
      <c r="G38" s="407"/>
      <c r="H38" s="1507"/>
      <c r="I38" s="658"/>
      <c r="J38" s="578"/>
      <c r="K38" s="1507"/>
      <c r="L38" s="221"/>
      <c r="M38" s="2177"/>
      <c r="N38" s="341"/>
      <c r="O38" s="1631"/>
      <c r="P38" s="1631"/>
      <c r="AH38" s="1638">
        <v>0</v>
      </c>
    </row>
    <row s="1642" customFormat="1" customHeight="1" ht="18.75" hidden="1">
      <c r="A39" s="1787" t="s">
        <v>271</v>
      </c>
      <c r="B39" s="1787" t="s">
        <v>272</v>
      </c>
      <c r="C39" s="376"/>
      <c r="D39" s="2469"/>
      <c r="E39" s="2211"/>
      <c r="F39" s="2390" t="str">
        <f>INDEX(PT_DIFFERENTIATION_VTAR,MATCH(A39,PT_DIFFERENTIATION_VTAR_ID,0))</f>
        <v>Тарифы на услуги по передаче теплоносителя</v>
      </c>
      <c r="G39" s="2434" t="str">
        <f>INDEX(PT_DIFFERENTIATION_NTAR,MATCH(B39,PT_DIFFERENTIATION_NTAR_ID,0))</f>
        <v/>
      </c>
      <c r="H39" s="1869"/>
      <c r="I39" s="1746"/>
      <c r="J39" s="1780"/>
      <c r="K39" s="1872"/>
      <c r="L39" s="1869" t="s">
        <v>469</v>
      </c>
      <c r="M39" s="2177"/>
      <c r="N39" s="341"/>
      <c r="O39" s="1631"/>
      <c r="P39" s="1631"/>
      <c r="AH39" s="1638">
        <v>0</v>
      </c>
    </row>
    <row s="1642" customFormat="1" customHeight="1" ht="18.75" hidden="1">
      <c r="A40" s="1787"/>
      <c r="B40" s="1787"/>
      <c r="C40" s="376" t="s">
        <v>1305</v>
      </c>
      <c r="D40" s="2469"/>
      <c r="E40" s="2211"/>
      <c r="F40" s="2390"/>
      <c r="G40" s="2434"/>
      <c r="H40" s="1507"/>
      <c r="I40" s="658" t="s">
        <v>1306</v>
      </c>
      <c r="J40" s="578"/>
      <c r="K40" s="1507"/>
      <c r="L40" s="221"/>
      <c r="M40" s="2177"/>
      <c r="N40" s="341"/>
      <c r="O40" s="1631"/>
      <c r="P40" s="1631"/>
      <c r="AH40" s="1638">
        <v>0</v>
      </c>
    </row>
    <row s="1642" customFormat="1" customHeight="1" ht="0.75" hidden="1">
      <c r="A41" s="1787"/>
      <c r="B41" s="1787"/>
      <c r="C41" s="376" t="s">
        <v>1311</v>
      </c>
      <c r="D41" s="2469"/>
      <c r="E41" s="2211"/>
      <c r="F41" s="2390"/>
      <c r="G41" s="407"/>
      <c r="H41" s="1507"/>
      <c r="I41" s="658"/>
      <c r="J41" s="578"/>
      <c r="K41" s="1507"/>
      <c r="L41" s="221"/>
      <c r="M41" s="2177"/>
      <c r="N41" s="341"/>
      <c r="O41" s="1631"/>
      <c r="P41" s="1631"/>
      <c r="AH41" s="1638">
        <v>0</v>
      </c>
    </row>
    <row s="1642" customFormat="1" customHeight="1" ht="18.75" hidden="1">
      <c r="A42" s="1787" t="s">
        <v>277</v>
      </c>
      <c r="B42" s="1787" t="s">
        <v>278</v>
      </c>
      <c r="C42" s="376"/>
      <c r="D42" s="2469"/>
      <c r="E42" s="2211"/>
      <c r="F42" s="2390" t="str">
        <f>INDEX(PT_DIFFERENTIATION_VTAR,MATCH(A42,PT_DIFFERENTIATION_VTAR_ID,0))</f>
        <v>Плата за услуги по поддержанию резервной тепловой мощности при отсутствии потребления тепловой энергии</v>
      </c>
      <c r="G42" s="2434" t="str">
        <f>INDEX(PT_DIFFERENTIATION_NTAR,MATCH(B42,PT_DIFFERENTIATION_NTAR_ID,0))</f>
        <v/>
      </c>
      <c r="H42" s="1869"/>
      <c r="I42" s="1746"/>
      <c r="J42" s="1780"/>
      <c r="K42" s="1872"/>
      <c r="L42" s="1869" t="s">
        <v>469</v>
      </c>
      <c r="M42" s="2177"/>
      <c r="N42" s="341"/>
      <c r="O42" s="1631"/>
      <c r="P42" s="1631"/>
      <c r="AH42" s="1638">
        <v>0</v>
      </c>
    </row>
    <row s="1642" customFormat="1" customHeight="1" ht="18.75" hidden="1">
      <c r="A43" s="1787"/>
      <c r="B43" s="1787"/>
      <c r="C43" s="376" t="s">
        <v>1305</v>
      </c>
      <c r="D43" s="2469"/>
      <c r="E43" s="2211"/>
      <c r="F43" s="2390"/>
      <c r="G43" s="2434"/>
      <c r="H43" s="1507"/>
      <c r="I43" s="658" t="s">
        <v>1306</v>
      </c>
      <c r="J43" s="578"/>
      <c r="K43" s="1507"/>
      <c r="L43" s="221"/>
      <c r="M43" s="2177"/>
      <c r="N43" s="341"/>
      <c r="O43" s="1631"/>
      <c r="P43" s="1631"/>
      <c r="AH43" s="1638">
        <v>0</v>
      </c>
    </row>
    <row s="1642" customFormat="1" customHeight="1" ht="0.75" hidden="1">
      <c r="A44" s="1787"/>
      <c r="B44" s="1787"/>
      <c r="C44" s="376" t="s">
        <v>1311</v>
      </c>
      <c r="D44" s="2469"/>
      <c r="E44" s="2211"/>
      <c r="F44" s="2390"/>
      <c r="G44" s="407"/>
      <c r="H44" s="1507"/>
      <c r="I44" s="658"/>
      <c r="J44" s="578"/>
      <c r="K44" s="1507"/>
      <c r="L44" s="221"/>
      <c r="M44" s="2177"/>
      <c r="N44" s="341"/>
      <c r="O44" s="1631"/>
      <c r="P44" s="1631"/>
      <c r="AH44" s="1638">
        <v>0</v>
      </c>
    </row>
    <row s="1642" customFormat="1" customHeight="1" ht="18.75" hidden="1">
      <c r="A45" s="1787" t="s">
        <v>283</v>
      </c>
      <c r="B45" s="1787" t="s">
        <v>284</v>
      </c>
      <c r="C45" s="376"/>
      <c r="D45" s="2469"/>
      <c r="E45" s="2211"/>
      <c r="F45" s="2390" t="str">
        <f>INDEX(PT_DIFFERENTIATION_VTAR,MATCH(A45,PT_DIFFERENTIATION_VTAR_ID,0))</f>
        <v>Плата за подключение (технологическое присоединение) к системе теплоснабжения</v>
      </c>
      <c r="G45" s="2434" t="str">
        <f>INDEX(PT_DIFFERENTIATION_NTAR,MATCH(B45,PT_DIFFERENTIATION_NTAR_ID,0))</f>
        <v/>
      </c>
      <c r="H45" s="1869"/>
      <c r="I45" s="1746"/>
      <c r="J45" s="1780"/>
      <c r="K45" s="1872"/>
      <c r="L45" s="1869" t="s">
        <v>469</v>
      </c>
      <c r="M45" s="2177"/>
      <c r="N45" s="341"/>
      <c r="O45" s="1631"/>
      <c r="P45" s="1631"/>
      <c r="AH45" s="1638">
        <v>0</v>
      </c>
    </row>
    <row s="1642" customFormat="1" customHeight="1" ht="18.75" hidden="1">
      <c r="A46" s="1787"/>
      <c r="B46" s="1787"/>
      <c r="C46" s="376" t="s">
        <v>1305</v>
      </c>
      <c r="D46" s="2469"/>
      <c r="E46" s="2211"/>
      <c r="F46" s="2390"/>
      <c r="G46" s="2434"/>
      <c r="H46" s="1507"/>
      <c r="I46" s="658" t="s">
        <v>1306</v>
      </c>
      <c r="J46" s="578"/>
      <c r="K46" s="1507"/>
      <c r="L46" s="221"/>
      <c r="M46" s="2177"/>
      <c r="N46" s="341"/>
      <c r="O46" s="1631"/>
      <c r="P46" s="1631"/>
      <c r="AH46" s="1638">
        <v>0</v>
      </c>
    </row>
    <row s="1642" customFormat="1" customHeight="1" ht="0.75" hidden="1">
      <c r="A47" s="1787"/>
      <c r="B47" s="1787"/>
      <c r="C47" s="376" t="s">
        <v>1311</v>
      </c>
      <c r="D47" s="2469"/>
      <c r="E47" s="2211"/>
      <c r="F47" s="2390"/>
      <c r="G47" s="407"/>
      <c r="H47" s="1507"/>
      <c r="I47" s="658"/>
      <c r="J47" s="578"/>
      <c r="K47" s="1507"/>
      <c r="L47" s="221"/>
      <c r="M47" s="2177"/>
      <c r="N47" s="341"/>
      <c r="O47" s="1631"/>
      <c r="P47" s="1631"/>
      <c r="AH47" s="1638">
        <v>0</v>
      </c>
    </row>
    <row s="1642" customFormat="1" customHeight="1" ht="18.75" hidden="1">
      <c r="A48" s="1787" t="s">
        <v>289</v>
      </c>
      <c r="B48" s="1787" t="s">
        <v>290</v>
      </c>
      <c r="C48" s="376"/>
      <c r="D48" s="2469"/>
      <c r="E48" s="2211"/>
      <c r="F48" s="2390" t="str">
        <f>INDEX(PT_DIFFERENTIATION_VTAR,MATCH(A48,PT_DIFFERENTIATION_VTAR_ID,0))</f>
        <v>Плата за подключение (технологическое присоединение) к системе теплоснабжения (индивидуальная)</v>
      </c>
      <c r="G48" s="2434" t="str">
        <f>INDEX(PT_DIFFERENTIATION_NTAR,MATCH(B48,PT_DIFFERENTIATION_NTAR_ID,0))</f>
        <v/>
      </c>
      <c r="H48" s="1996"/>
      <c r="I48" s="1746"/>
      <c r="J48" s="1780"/>
      <c r="K48" s="1872"/>
      <c r="L48" s="1996" t="s">
        <v>469</v>
      </c>
      <c r="M48" s="2177"/>
      <c r="N48" s="341"/>
      <c r="O48" s="1631"/>
      <c r="P48" s="1631"/>
      <c r="AH48" s="1638">
        <v>0</v>
      </c>
    </row>
    <row s="1642" customFormat="1" customHeight="1" ht="18.75" hidden="1">
      <c r="A49" s="1787"/>
      <c r="B49" s="1787"/>
      <c r="C49" s="376" t="s">
        <v>1305</v>
      </c>
      <c r="D49" s="2469"/>
      <c r="E49" s="2211"/>
      <c r="F49" s="2390"/>
      <c r="G49" s="2434"/>
      <c r="H49" s="1507"/>
      <c r="I49" s="658" t="s">
        <v>1306</v>
      </c>
      <c r="J49" s="578"/>
      <c r="K49" s="1507"/>
      <c r="L49" s="221"/>
      <c r="M49" s="2177"/>
      <c r="N49" s="341"/>
      <c r="O49" s="1631"/>
      <c r="P49" s="1631"/>
      <c r="AH49" s="1638">
        <v>0</v>
      </c>
    </row>
    <row s="1642" customFormat="1" customHeight="1" ht="0.75" hidden="1">
      <c r="A50" s="1787"/>
      <c r="B50" s="1787"/>
      <c r="C50" s="376" t="s">
        <v>1311</v>
      </c>
      <c r="D50" s="2469"/>
      <c r="E50" s="2211"/>
      <c r="F50" s="2390"/>
      <c r="G50" s="407"/>
      <c r="H50" s="1507"/>
      <c r="I50" s="658"/>
      <c r="J50" s="578"/>
      <c r="K50" s="1507"/>
      <c r="L50" s="221"/>
      <c r="M50" s="2177"/>
      <c r="N50" s="341"/>
      <c r="O50" s="1631"/>
      <c r="P50" s="1631"/>
      <c r="AH50" s="1638">
        <v>0</v>
      </c>
    </row>
    <row s="1642" customFormat="1" customHeight="1" ht="18.75">
      <c r="A51" s="1787" t="s">
        <v>312</v>
      </c>
      <c r="B51" s="1787" t="s">
        <v>313</v>
      </c>
      <c r="C51" s="376"/>
      <c r="D51" s="2469"/>
      <c r="E51" s="2211"/>
      <c r="F51" s="2390" t="str">
        <f>INDEX(PT_DIFFERENTIATION_VTAR,MATCH(A51,PT_DIFFERENTIATION_VTAR_ID,0))</f>
        <v>Тариф на питьевую воду (питьевое водоснабжение)</v>
      </c>
      <c r="G51" s="2434" t="str">
        <f>INDEX(PT_DIFFERENTIATION_NTAR,MATCH(B51,PT_DIFFERENTIATION_NTAR_ID,0))</f>
        <v>Холодное водоснабжение. Питьевая вода</v>
      </c>
      <c r="H51" s="1869"/>
      <c r="I51" s="1746">
        <v>45658</v>
      </c>
      <c r="J51" s="1780">
        <v>46022</v>
      </c>
      <c r="K51" s="1872" t="s">
        <v>1312</v>
      </c>
      <c r="L51" s="1869" t="s">
        <v>469</v>
      </c>
      <c r="M51" s="2177"/>
      <c r="N51" s="341"/>
      <c r="O51" s="1631"/>
      <c r="P51" s="1631"/>
      <c r="AH51" s="1638">
        <v>0</v>
      </c>
    </row>
    <row s="1642" customFormat="1" customHeight="1" ht="18.75">
      <c r="A52" s="1787"/>
      <c r="B52" s="1787"/>
      <c r="C52" s="376" t="s">
        <v>1305</v>
      </c>
      <c r="D52" s="2469"/>
      <c r="E52" s="2211"/>
      <c r="F52" s="2390"/>
      <c r="G52" s="2434"/>
      <c r="H52" s="1507"/>
      <c r="I52" s="658" t="s">
        <v>1306</v>
      </c>
      <c r="J52" s="578"/>
      <c r="K52" s="1507"/>
      <c r="L52" s="221"/>
      <c r="M52" s="2177"/>
      <c r="N52" s="341"/>
      <c r="O52" s="1631"/>
      <c r="P52" s="1631"/>
      <c r="AH52" s="1638">
        <v>0</v>
      </c>
    </row>
    <row s="1642" customFormat="1" customHeight="1" ht="0.75">
      <c r="A53" s="1787"/>
      <c r="B53" s="1787"/>
      <c r="C53" s="376" t="s">
        <v>1311</v>
      </c>
      <c r="D53" s="2469"/>
      <c r="E53" s="2211"/>
      <c r="F53" s="2390"/>
      <c r="G53" s="407"/>
      <c r="H53" s="1507"/>
      <c r="I53" s="658"/>
      <c r="J53" s="578"/>
      <c r="K53" s="1507"/>
      <c r="L53" s="221"/>
      <c r="M53" s="2177"/>
      <c r="N53" s="341"/>
      <c r="O53" s="1631"/>
      <c r="P53" s="1631"/>
      <c r="AH53" s="1638">
        <v>0</v>
      </c>
    </row>
    <row s="1642" customFormat="1" customHeight="1" ht="18.75" hidden="1">
      <c r="A54" s="1787" t="s">
        <v>393</v>
      </c>
      <c r="B54" s="1787" t="s">
        <v>394</v>
      </c>
      <c r="C54" s="376"/>
      <c r="D54" s="2469"/>
      <c r="E54" s="2211"/>
      <c r="F54" s="2390" t="str">
        <f>INDEX(PT_DIFFERENTIATION_VTAR,MATCH(A54,PT_DIFFERENTIATION_VTAR_ID,0))</f>
        <v>Тариф на техническую воду</v>
      </c>
      <c r="G54" s="2434" t="str">
        <f>INDEX(PT_DIFFERENTIATION_NTAR,MATCH(B54,PT_DIFFERENTIATION_NTAR_ID,0))</f>
        <v/>
      </c>
      <c r="H54" s="1869"/>
      <c r="I54" s="1746"/>
      <c r="J54" s="1780"/>
      <c r="K54" s="1872"/>
      <c r="L54" s="1869" t="s">
        <v>469</v>
      </c>
      <c r="M54" s="2177"/>
      <c r="N54" s="341"/>
      <c r="O54" s="1631"/>
      <c r="P54" s="1631"/>
      <c r="AH54" s="1638">
        <v>0</v>
      </c>
    </row>
    <row s="1642" customFormat="1" customHeight="1" ht="18.75" hidden="1">
      <c r="A55" s="1787"/>
      <c r="B55" s="1787"/>
      <c r="C55" s="376" t="s">
        <v>1305</v>
      </c>
      <c r="D55" s="2469"/>
      <c r="E55" s="2211"/>
      <c r="F55" s="2390"/>
      <c r="G55" s="2434"/>
      <c r="H55" s="1507"/>
      <c r="I55" s="658" t="s">
        <v>1306</v>
      </c>
      <c r="J55" s="578"/>
      <c r="K55" s="1507"/>
      <c r="L55" s="221"/>
      <c r="M55" s="2177"/>
      <c r="N55" s="341"/>
      <c r="O55" s="1631"/>
      <c r="P55" s="1631"/>
      <c r="AH55" s="1638">
        <v>0</v>
      </c>
    </row>
    <row s="1642" customFormat="1" customHeight="1" ht="0.75" hidden="1">
      <c r="A56" s="1787"/>
      <c r="B56" s="1787"/>
      <c r="C56" s="376" t="s">
        <v>1311</v>
      </c>
      <c r="D56" s="2469"/>
      <c r="E56" s="2211"/>
      <c r="F56" s="2390"/>
      <c r="G56" s="407"/>
      <c r="H56" s="1507"/>
      <c r="I56" s="658"/>
      <c r="J56" s="578"/>
      <c r="K56" s="1507"/>
      <c r="L56" s="221"/>
      <c r="M56" s="2177"/>
      <c r="N56" s="341"/>
      <c r="O56" s="1631"/>
      <c r="P56" s="1631"/>
      <c r="AH56" s="1638">
        <v>0</v>
      </c>
    </row>
    <row s="1642" customFormat="1" customHeight="1" ht="18.75" hidden="1">
      <c r="A57" s="1787" t="s">
        <v>398</v>
      </c>
      <c r="B57" s="1787" t="s">
        <v>399</v>
      </c>
      <c r="C57" s="376"/>
      <c r="D57" s="2469"/>
      <c r="E57" s="2211"/>
      <c r="F57" s="2390" t="str">
        <f>INDEX(PT_DIFFERENTIATION_VTAR,MATCH(A57,PT_DIFFERENTIATION_VTAR_ID,0))</f>
        <v>Тариф на транспортировку воды</v>
      </c>
      <c r="G57" s="2434" t="str">
        <f>INDEX(PT_DIFFERENTIATION_NTAR,MATCH(B57,PT_DIFFERENTIATION_NTAR_ID,0))</f>
        <v/>
      </c>
      <c r="H57" s="1869"/>
      <c r="I57" s="1746"/>
      <c r="J57" s="1780"/>
      <c r="K57" s="1872"/>
      <c r="L57" s="1869" t="s">
        <v>469</v>
      </c>
      <c r="M57" s="2177"/>
      <c r="N57" s="341"/>
      <c r="O57" s="1631"/>
      <c r="P57" s="1631"/>
      <c r="AH57" s="1638">
        <v>0</v>
      </c>
    </row>
    <row s="1642" customFormat="1" customHeight="1" ht="18.75" hidden="1">
      <c r="A58" s="1787"/>
      <c r="B58" s="1787"/>
      <c r="C58" s="376" t="s">
        <v>1305</v>
      </c>
      <c r="D58" s="2469"/>
      <c r="E58" s="2211"/>
      <c r="F58" s="2390"/>
      <c r="G58" s="2434"/>
      <c r="H58" s="1507"/>
      <c r="I58" s="658" t="s">
        <v>1306</v>
      </c>
      <c r="J58" s="578"/>
      <c r="K58" s="1507"/>
      <c r="L58" s="221"/>
      <c r="M58" s="2177"/>
      <c r="N58" s="341"/>
      <c r="O58" s="1631"/>
      <c r="P58" s="1631"/>
      <c r="AH58" s="1638">
        <v>0</v>
      </c>
    </row>
    <row s="1642" customFormat="1" customHeight="1" ht="0.75" hidden="1">
      <c r="A59" s="1787"/>
      <c r="B59" s="1787"/>
      <c r="C59" s="376" t="s">
        <v>1311</v>
      </c>
      <c r="D59" s="2469"/>
      <c r="E59" s="2211"/>
      <c r="F59" s="2390"/>
      <c r="G59" s="407"/>
      <c r="H59" s="1507"/>
      <c r="I59" s="658"/>
      <c r="J59" s="578"/>
      <c r="K59" s="1507"/>
      <c r="L59" s="221"/>
      <c r="M59" s="2177"/>
      <c r="N59" s="341"/>
      <c r="O59" s="1631"/>
      <c r="P59" s="1631"/>
      <c r="AH59" s="1638">
        <v>0</v>
      </c>
    </row>
    <row s="1642" customFormat="1" customHeight="1" ht="18.75" hidden="1">
      <c r="A60" s="1787" t="s">
        <v>403</v>
      </c>
      <c r="B60" s="1787" t="s">
        <v>404</v>
      </c>
      <c r="C60" s="376"/>
      <c r="D60" s="2469"/>
      <c r="E60" s="2211"/>
      <c r="F60" s="2390" t="str">
        <f>INDEX(PT_DIFFERENTIATION_VTAR,MATCH(A60,PT_DIFFERENTIATION_VTAR_ID,0))</f>
        <v>Тариф на подвоз воды</v>
      </c>
      <c r="G60" s="2434" t="str">
        <f>INDEX(PT_DIFFERENTIATION_NTAR,MATCH(B60,PT_DIFFERENTIATION_NTAR_ID,0))</f>
        <v/>
      </c>
      <c r="H60" s="1869"/>
      <c r="I60" s="1746"/>
      <c r="J60" s="1780"/>
      <c r="K60" s="1872"/>
      <c r="L60" s="1869" t="s">
        <v>469</v>
      </c>
      <c r="M60" s="2177"/>
      <c r="N60" s="341"/>
      <c r="O60" s="1631"/>
      <c r="P60" s="1631"/>
      <c r="AH60" s="1638">
        <v>0</v>
      </c>
    </row>
    <row s="1642" customFormat="1" customHeight="1" ht="18.75" hidden="1">
      <c r="A61" s="1787"/>
      <c r="B61" s="1787"/>
      <c r="C61" s="376" t="s">
        <v>1305</v>
      </c>
      <c r="D61" s="2469"/>
      <c r="E61" s="2211"/>
      <c r="F61" s="2390"/>
      <c r="G61" s="2434"/>
      <c r="H61" s="1507"/>
      <c r="I61" s="658" t="s">
        <v>1306</v>
      </c>
      <c r="J61" s="578"/>
      <c r="K61" s="1507"/>
      <c r="L61" s="221"/>
      <c r="M61" s="2177"/>
      <c r="N61" s="341"/>
      <c r="O61" s="1631"/>
      <c r="P61" s="1631"/>
      <c r="AH61" s="1638">
        <v>0</v>
      </c>
    </row>
    <row s="1642" customFormat="1" customHeight="1" ht="0.75" hidden="1">
      <c r="A62" s="1787"/>
      <c r="B62" s="1787"/>
      <c r="C62" s="376" t="s">
        <v>1311</v>
      </c>
      <c r="D62" s="2469"/>
      <c r="E62" s="2211"/>
      <c r="F62" s="2390"/>
      <c r="G62" s="407"/>
      <c r="H62" s="1507"/>
      <c r="I62" s="658"/>
      <c r="J62" s="578"/>
      <c r="K62" s="1507"/>
      <c r="L62" s="221"/>
      <c r="M62" s="2177"/>
      <c r="N62" s="341"/>
      <c r="O62" s="1631"/>
      <c r="P62" s="1631"/>
      <c r="AH62" s="1638">
        <v>0</v>
      </c>
    </row>
    <row s="1642" customFormat="1" customHeight="1" ht="18.75" hidden="1">
      <c r="A63" s="1787" t="s">
        <v>408</v>
      </c>
      <c r="B63" s="1787" t="s">
        <v>409</v>
      </c>
      <c r="C63" s="376"/>
      <c r="D63" s="2469"/>
      <c r="E63" s="2211"/>
      <c r="F63" s="2390"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34" t="str">
        <f>INDEX(PT_DIFFERENTIATION_NTAR,MATCH(B63,PT_DIFFERENTIATION_NTAR_ID,0))</f>
        <v/>
      </c>
      <c r="H63" s="1869"/>
      <c r="I63" s="1746"/>
      <c r="J63" s="1780"/>
      <c r="K63" s="1872"/>
      <c r="L63" s="1869" t="s">
        <v>469</v>
      </c>
      <c r="M63" s="2177"/>
      <c r="N63" s="341"/>
      <c r="O63" s="1631"/>
      <c r="P63" s="1631"/>
      <c r="AH63" s="1638">
        <v>0</v>
      </c>
    </row>
    <row s="1642" customFormat="1" customHeight="1" ht="18.75" hidden="1">
      <c r="A64" s="1787"/>
      <c r="B64" s="1787"/>
      <c r="C64" s="376" t="s">
        <v>1305</v>
      </c>
      <c r="D64" s="2469"/>
      <c r="E64" s="2211"/>
      <c r="F64" s="2390"/>
      <c r="G64" s="2434"/>
      <c r="H64" s="1507"/>
      <c r="I64" s="658" t="s">
        <v>1306</v>
      </c>
      <c r="J64" s="578"/>
      <c r="K64" s="1507"/>
      <c r="L64" s="221"/>
      <c r="M64" s="2177"/>
      <c r="N64" s="341"/>
      <c r="O64" s="1631"/>
      <c r="P64" s="1631"/>
      <c r="AH64" s="1638">
        <v>0</v>
      </c>
    </row>
    <row s="1642" customFormat="1" customHeight="1" ht="0.75" hidden="1">
      <c r="A65" s="1787"/>
      <c r="B65" s="1787"/>
      <c r="C65" s="376" t="s">
        <v>1311</v>
      </c>
      <c r="D65" s="2469"/>
      <c r="E65" s="2211"/>
      <c r="F65" s="2390"/>
      <c r="G65" s="407"/>
      <c r="H65" s="1507"/>
      <c r="I65" s="658"/>
      <c r="J65" s="578"/>
      <c r="K65" s="1507"/>
      <c r="L65" s="221"/>
      <c r="M65" s="2177"/>
      <c r="N65" s="341"/>
      <c r="O65" s="1631"/>
      <c r="P65" s="1631"/>
      <c r="AH65" s="1638">
        <v>0</v>
      </c>
    </row>
    <row s="1642" customFormat="1" customHeight="1" ht="18.75" hidden="1">
      <c r="A66" s="1787" t="s">
        <v>413</v>
      </c>
      <c r="B66" s="1787" t="s">
        <v>414</v>
      </c>
      <c r="C66" s="376"/>
      <c r="D66" s="2469"/>
      <c r="E66" s="2211"/>
      <c r="F66" s="2390" t="str">
        <f>INDEX(PT_DIFFERENTIATION_VTAR,MATCH(A66,PT_DIFFERENTIATION_VTAR_ID,0))</f>
        <v>Тариф на горячую воду (горячее водоснабжение)</v>
      </c>
      <c r="G66" s="2434" t="str">
        <f>INDEX(PT_DIFFERENTIATION_NTAR,MATCH(B66,PT_DIFFERENTIATION_NTAR_ID,0))</f>
        <v/>
      </c>
      <c r="H66" s="1869"/>
      <c r="I66" s="1746"/>
      <c r="J66" s="1780"/>
      <c r="K66" s="1872"/>
      <c r="L66" s="1869" t="s">
        <v>469</v>
      </c>
      <c r="M66" s="2177"/>
      <c r="N66" s="341"/>
      <c r="O66" s="1631"/>
      <c r="P66" s="1631"/>
      <c r="AH66" s="1638">
        <v>0</v>
      </c>
    </row>
    <row s="1642" customFormat="1" customHeight="1" ht="18.75" hidden="1">
      <c r="A67" s="1787"/>
      <c r="B67" s="1787"/>
      <c r="C67" s="376" t="s">
        <v>1305</v>
      </c>
      <c r="D67" s="2469"/>
      <c r="E67" s="2211"/>
      <c r="F67" s="2390"/>
      <c r="G67" s="2434"/>
      <c r="H67" s="1507"/>
      <c r="I67" s="658" t="s">
        <v>1306</v>
      </c>
      <c r="J67" s="578"/>
      <c r="K67" s="1507"/>
      <c r="L67" s="221"/>
      <c r="M67" s="2177"/>
      <c r="N67" s="341"/>
      <c r="O67" s="1631"/>
      <c r="P67" s="1631"/>
      <c r="AH67" s="1638">
        <v>0</v>
      </c>
    </row>
    <row s="1642" customFormat="1" customHeight="1" ht="0.75" hidden="1">
      <c r="A68" s="1787"/>
      <c r="B68" s="1787"/>
      <c r="C68" s="376" t="s">
        <v>1311</v>
      </c>
      <c r="D68" s="2469"/>
      <c r="E68" s="2211"/>
      <c r="F68" s="2390"/>
      <c r="G68" s="407"/>
      <c r="H68" s="1507"/>
      <c r="I68" s="658"/>
      <c r="J68" s="578"/>
      <c r="K68" s="1507"/>
      <c r="L68" s="221"/>
      <c r="M68" s="2177"/>
      <c r="N68" s="341"/>
      <c r="O68" s="1631"/>
      <c r="P68" s="1631"/>
      <c r="AH68" s="1638">
        <v>0</v>
      </c>
    </row>
    <row s="1642" customFormat="1" customHeight="1" ht="18.75" hidden="1">
      <c r="A69" s="1787" t="s">
        <v>418</v>
      </c>
      <c r="B69" s="1787" t="s">
        <v>419</v>
      </c>
      <c r="C69" s="376"/>
      <c r="D69" s="2469"/>
      <c r="E69" s="2211"/>
      <c r="F69" s="2390" t="str">
        <f>INDEX(PT_DIFFERENTIATION_VTAR,MATCH(A69,PT_DIFFERENTIATION_VTAR_ID,0))</f>
        <v>Тариф на транспортировку горячей воды</v>
      </c>
      <c r="G69" s="2434" t="str">
        <f>INDEX(PT_DIFFERENTIATION_NTAR,MATCH(B69,PT_DIFFERENTIATION_NTAR_ID,0))</f>
        <v/>
      </c>
      <c r="H69" s="1869"/>
      <c r="I69" s="1746"/>
      <c r="J69" s="1780"/>
      <c r="K69" s="1872"/>
      <c r="L69" s="1869" t="s">
        <v>469</v>
      </c>
      <c r="M69" s="2177"/>
      <c r="N69" s="341"/>
      <c r="O69" s="1631"/>
      <c r="P69" s="1631"/>
      <c r="AH69" s="1638">
        <v>0</v>
      </c>
    </row>
    <row s="1642" customFormat="1" customHeight="1" ht="18.75" hidden="1">
      <c r="A70" s="1787"/>
      <c r="B70" s="1787"/>
      <c r="C70" s="376" t="s">
        <v>1305</v>
      </c>
      <c r="D70" s="2469"/>
      <c r="E70" s="2211"/>
      <c r="F70" s="2390"/>
      <c r="G70" s="2434"/>
      <c r="H70" s="1507"/>
      <c r="I70" s="658" t="s">
        <v>1306</v>
      </c>
      <c r="J70" s="578"/>
      <c r="K70" s="1507"/>
      <c r="L70" s="221"/>
      <c r="M70" s="2177"/>
      <c r="N70" s="341"/>
      <c r="O70" s="1631"/>
      <c r="P70" s="1631"/>
      <c r="AH70" s="1638">
        <v>0</v>
      </c>
    </row>
    <row s="1642" customFormat="1" customHeight="1" ht="0.75" hidden="1">
      <c r="A71" s="1787"/>
      <c r="B71" s="1787"/>
      <c r="C71" s="376" t="s">
        <v>1311</v>
      </c>
      <c r="D71" s="2469"/>
      <c r="E71" s="2211"/>
      <c r="F71" s="2390"/>
      <c r="G71" s="407"/>
      <c r="H71" s="1507"/>
      <c r="I71" s="658"/>
      <c r="J71" s="578"/>
      <c r="K71" s="1507"/>
      <c r="L71" s="221"/>
      <c r="M71" s="2177"/>
      <c r="N71" s="341"/>
      <c r="O71" s="1631"/>
      <c r="P71" s="1631"/>
      <c r="AH71" s="1638">
        <v>0</v>
      </c>
    </row>
    <row s="1642" customFormat="1" customHeight="1" ht="18.75" hidden="1">
      <c r="A72" s="1787" t="s">
        <v>423</v>
      </c>
      <c r="B72" s="1787" t="s">
        <v>424</v>
      </c>
      <c r="C72" s="376"/>
      <c r="D72" s="2469"/>
      <c r="E72" s="2211"/>
      <c r="F72" s="2390" t="str">
        <f>INDEX(PT_DIFFERENTIATION_VTAR,MATCH(A72,PT_DIFFERENTIATION_VTAR_ID,0))</f>
        <v>Тариф на подключение (технологическое присоединение) к централизованной системе горячего водоснабжения</v>
      </c>
      <c r="G72" s="2434" t="str">
        <f>INDEX(PT_DIFFERENTIATION_NTAR,MATCH(B72,PT_DIFFERENTIATION_NTAR_ID,0))</f>
        <v/>
      </c>
      <c r="H72" s="1869"/>
      <c r="I72" s="1746"/>
      <c r="J72" s="1780"/>
      <c r="K72" s="1872"/>
      <c r="L72" s="1869" t="s">
        <v>469</v>
      </c>
      <c r="M72" s="2177"/>
      <c r="N72" s="341"/>
      <c r="O72" s="1631"/>
      <c r="P72" s="1631"/>
      <c r="AH72" s="1638">
        <v>0</v>
      </c>
    </row>
    <row s="1642" customFormat="1" customHeight="1" ht="18.75" hidden="1">
      <c r="A73" s="1787"/>
      <c r="B73" s="1787"/>
      <c r="C73" s="376" t="s">
        <v>1305</v>
      </c>
      <c r="D73" s="2469"/>
      <c r="E73" s="2211"/>
      <c r="F73" s="2390"/>
      <c r="G73" s="2434"/>
      <c r="H73" s="1507"/>
      <c r="I73" s="658" t="s">
        <v>1306</v>
      </c>
      <c r="J73" s="578"/>
      <c r="K73" s="1507"/>
      <c r="L73" s="221"/>
      <c r="M73" s="2177"/>
      <c r="N73" s="341"/>
      <c r="O73" s="1631"/>
      <c r="P73" s="1631"/>
      <c r="AH73" s="1638">
        <v>0</v>
      </c>
    </row>
    <row s="1642" customFormat="1" customHeight="1" ht="0.75" hidden="1">
      <c r="A74" s="1787"/>
      <c r="B74" s="1787"/>
      <c r="C74" s="376" t="s">
        <v>1311</v>
      </c>
      <c r="D74" s="2469"/>
      <c r="E74" s="2211"/>
      <c r="F74" s="2390"/>
      <c r="G74" s="407"/>
      <c r="H74" s="1507"/>
      <c r="I74" s="658"/>
      <c r="J74" s="578"/>
      <c r="K74" s="1507"/>
      <c r="L74" s="221"/>
      <c r="M74" s="2177"/>
      <c r="N74" s="341"/>
      <c r="O74" s="1631"/>
      <c r="P74" s="1631"/>
      <c r="AH74" s="1638">
        <v>0</v>
      </c>
    </row>
    <row s="1642" customFormat="1" customHeight="1" ht="18.75" hidden="1">
      <c r="A75" s="1787" t="s">
        <v>428</v>
      </c>
      <c r="B75" s="1787" t="s">
        <v>429</v>
      </c>
      <c r="C75" s="376"/>
      <c r="D75" s="2469"/>
      <c r="E75" s="2211"/>
      <c r="F75" s="2390" t="str">
        <f>INDEX(PT_DIFFERENTIATION_VTAR,MATCH(A75,PT_DIFFERENTIATION_VTAR_ID,0))</f>
        <v>Тариф на водоотведение</v>
      </c>
      <c r="G75" s="2434" t="str">
        <f>INDEX(PT_DIFFERENTIATION_NTAR,MATCH(B75,PT_DIFFERENTIATION_NTAR_ID,0))</f>
        <v/>
      </c>
      <c r="H75" s="1869"/>
      <c r="I75" s="1746"/>
      <c r="J75" s="1780"/>
      <c r="K75" s="1872"/>
      <c r="L75" s="1869" t="s">
        <v>469</v>
      </c>
      <c r="M75" s="2177"/>
      <c r="N75" s="341"/>
      <c r="O75" s="1631"/>
      <c r="P75" s="1631"/>
      <c r="AH75" s="1638">
        <v>0</v>
      </c>
    </row>
    <row s="1642" customFormat="1" customHeight="1" ht="18.75" hidden="1">
      <c r="A76" s="1787"/>
      <c r="B76" s="1787"/>
      <c r="C76" s="376" t="s">
        <v>1305</v>
      </c>
      <c r="D76" s="2469"/>
      <c r="E76" s="2211"/>
      <c r="F76" s="2390"/>
      <c r="G76" s="2434"/>
      <c r="H76" s="1507"/>
      <c r="I76" s="658" t="s">
        <v>1306</v>
      </c>
      <c r="J76" s="578"/>
      <c r="K76" s="1507"/>
      <c r="L76" s="221"/>
      <c r="M76" s="2177"/>
      <c r="N76" s="341"/>
      <c r="O76" s="1631"/>
      <c r="P76" s="1631"/>
      <c r="AH76" s="1638">
        <v>0</v>
      </c>
    </row>
    <row s="1642" customFormat="1" customHeight="1" ht="0.75" hidden="1">
      <c r="A77" s="1787"/>
      <c r="B77" s="1787"/>
      <c r="C77" s="376" t="s">
        <v>1311</v>
      </c>
      <c r="D77" s="2469"/>
      <c r="E77" s="2211"/>
      <c r="F77" s="2390"/>
      <c r="G77" s="407"/>
      <c r="H77" s="1507"/>
      <c r="I77" s="658"/>
      <c r="J77" s="578"/>
      <c r="K77" s="1507"/>
      <c r="L77" s="221"/>
      <c r="M77" s="2177"/>
      <c r="N77" s="341"/>
      <c r="O77" s="1631"/>
      <c r="P77" s="1631"/>
      <c r="AH77" s="1638">
        <v>0</v>
      </c>
    </row>
    <row s="1642" customFormat="1" customHeight="1" ht="18.75" hidden="1">
      <c r="A78" s="1787" t="s">
        <v>433</v>
      </c>
      <c r="B78" s="1787" t="s">
        <v>434</v>
      </c>
      <c r="C78" s="376"/>
      <c r="D78" s="2469"/>
      <c r="E78" s="2211"/>
      <c r="F78" s="2390" t="str">
        <f>INDEX(PT_DIFFERENTIATION_VTAR,MATCH(A78,PT_DIFFERENTIATION_VTAR_ID,0))</f>
        <v>Тариф на транспортировку сточных вод</v>
      </c>
      <c r="G78" s="2434" t="str">
        <f>INDEX(PT_DIFFERENTIATION_NTAR,MATCH(B78,PT_DIFFERENTIATION_NTAR_ID,0))</f>
        <v/>
      </c>
      <c r="H78" s="1869"/>
      <c r="I78" s="1746"/>
      <c r="J78" s="1780"/>
      <c r="K78" s="1872"/>
      <c r="L78" s="1869" t="s">
        <v>469</v>
      </c>
      <c r="M78" s="2177"/>
      <c r="N78" s="341"/>
      <c r="O78" s="1631"/>
      <c r="P78" s="1631"/>
      <c r="AH78" s="1638">
        <v>0</v>
      </c>
    </row>
    <row s="1642" customFormat="1" customHeight="1" ht="18.75" hidden="1">
      <c r="A79" s="1787"/>
      <c r="B79" s="1787"/>
      <c r="C79" s="376" t="s">
        <v>1305</v>
      </c>
      <c r="D79" s="2469"/>
      <c r="E79" s="2211"/>
      <c r="F79" s="2390"/>
      <c r="G79" s="2434"/>
      <c r="H79" s="1507"/>
      <c r="I79" s="658" t="s">
        <v>1306</v>
      </c>
      <c r="J79" s="578"/>
      <c r="K79" s="1507"/>
      <c r="L79" s="221"/>
      <c r="M79" s="2177"/>
      <c r="N79" s="341"/>
      <c r="O79" s="1631"/>
      <c r="P79" s="1631"/>
      <c r="AH79" s="1638">
        <v>0</v>
      </c>
    </row>
    <row s="1642" customFormat="1" customHeight="1" ht="0.75" hidden="1">
      <c r="A80" s="1787"/>
      <c r="B80" s="1787"/>
      <c r="C80" s="376" t="s">
        <v>1311</v>
      </c>
      <c r="D80" s="2469"/>
      <c r="E80" s="2211"/>
      <c r="F80" s="2390"/>
      <c r="G80" s="407"/>
      <c r="H80" s="1507"/>
      <c r="I80" s="658"/>
      <c r="J80" s="578"/>
      <c r="K80" s="1507"/>
      <c r="L80" s="221"/>
      <c r="M80" s="2177"/>
      <c r="N80" s="341"/>
      <c r="O80" s="1631"/>
      <c r="P80" s="1631"/>
      <c r="AH80" s="1638">
        <v>0</v>
      </c>
    </row>
    <row s="1642" customFormat="1" customHeight="1" ht="18.75" hidden="1">
      <c r="A81" s="1787" t="s">
        <v>438</v>
      </c>
      <c r="B81" s="1787" t="s">
        <v>439</v>
      </c>
      <c r="C81" s="376"/>
      <c r="D81" s="2469"/>
      <c r="E81" s="2211"/>
      <c r="F81" s="2390" t="str">
        <f>INDEX(PT_DIFFERENTIATION_VTAR,MATCH(A81,PT_DIFFERENTIATION_VTAR_ID,0))</f>
        <v>Тариф на подключение (технологическое присоединение) к централизованной системе водоотведения</v>
      </c>
      <c r="G81" s="2434" t="str">
        <f>INDEX(PT_DIFFERENTIATION_NTAR,MATCH(B81,PT_DIFFERENTIATION_NTAR_ID,0))</f>
        <v/>
      </c>
      <c r="H81" s="1869"/>
      <c r="I81" s="1746"/>
      <c r="J81" s="1780"/>
      <c r="K81" s="1872"/>
      <c r="L81" s="1869" t="s">
        <v>469</v>
      </c>
      <c r="M81" s="2177"/>
      <c r="N81" s="341"/>
      <c r="O81" s="1631"/>
      <c r="P81" s="1631"/>
      <c r="AH81" s="1638">
        <v>0</v>
      </c>
    </row>
    <row s="1642" customFormat="1" customHeight="1" ht="18.75" hidden="1">
      <c r="A82" s="1787"/>
      <c r="B82" s="1787"/>
      <c r="C82" s="376" t="s">
        <v>1305</v>
      </c>
      <c r="D82" s="2469"/>
      <c r="E82" s="2211"/>
      <c r="F82" s="2390"/>
      <c r="G82" s="2434"/>
      <c r="H82" s="1507"/>
      <c r="I82" s="658" t="s">
        <v>1306</v>
      </c>
      <c r="J82" s="578"/>
      <c r="K82" s="1507"/>
      <c r="L82" s="221"/>
      <c r="M82" s="2177"/>
      <c r="N82" s="341"/>
      <c r="O82" s="1631"/>
      <c r="P82" s="1631"/>
      <c r="AH82" s="1638">
        <v>0</v>
      </c>
    </row>
    <row s="1642" customFormat="1" customHeight="1" ht="1.05">
      <c r="A83" s="1787"/>
      <c r="B83" s="1787"/>
      <c r="C83" s="376" t="s">
        <v>1311</v>
      </c>
      <c r="D83" s="2469"/>
      <c r="E83" s="2211"/>
      <c r="F83" s="2390"/>
      <c r="G83" s="407"/>
      <c r="H83" s="1507"/>
      <c r="I83" s="658"/>
      <c r="J83" s="578"/>
      <c r="K83" s="1507"/>
      <c r="L83" s="221"/>
      <c r="M83" s="2177"/>
      <c r="N83" s="341"/>
      <c r="O83" s="1631"/>
      <c r="P83" s="1631"/>
      <c r="AH83" s="1638">
        <v>1</v>
      </c>
    </row>
    <row customHeight="1" ht="19.95">
      <c r="A84" s="1787"/>
      <c r="B84" s="1787"/>
      <c r="D84" s="383"/>
      <c r="E84" s="154" t="s">
        <v>99</v>
      </c>
      <c r="F84" s="2467"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7"/>
      <c r="H84" s="2467"/>
      <c r="I84" s="2467"/>
      <c r="J84" s="2467"/>
      <c r="K84" s="2467"/>
      <c r="L84" s="2467"/>
      <c r="M84" s="304"/>
      <c r="N84" s="341"/>
      <c r="AH84" s="381">
        <v>19</v>
      </c>
    </row>
    <row customHeight="1" ht="36">
      <c r="A85" s="1787"/>
      <c r="B85" s="1787"/>
      <c r="D85" s="383"/>
      <c r="E85" s="406"/>
      <c r="F85" s="205" t="s">
        <v>469</v>
      </c>
      <c r="G85" s="205" t="s">
        <v>469</v>
      </c>
      <c r="H85" s="2225" t="s">
        <v>469</v>
      </c>
      <c r="I85" s="2227"/>
      <c r="J85" s="205" t="s">
        <v>469</v>
      </c>
      <c r="K85" s="205" t="s">
        <v>469</v>
      </c>
      <c r="L85" s="12757" t="s">
        <v>1313</v>
      </c>
      <c r="M85" s="352" t="s">
        <v>1314</v>
      </c>
      <c r="N85" s="341"/>
      <c r="AH85" s="381">
        <v>34</v>
      </c>
    </row>
    <row customHeight="1" ht="19.95">
      <c r="A86" s="1787"/>
      <c r="B86" s="1787"/>
      <c r="D86" s="383"/>
      <c r="E86" s="154" t="s">
        <v>90</v>
      </c>
      <c r="F86" s="2467" t="s">
        <v>1315</v>
      </c>
      <c r="G86" s="2467"/>
      <c r="H86" s="2467"/>
      <c r="I86" s="2467"/>
      <c r="J86" s="2467"/>
      <c r="K86" s="2467"/>
      <c r="L86" s="2467"/>
      <c r="M86" s="304"/>
      <c r="N86" s="341"/>
      <c r="AH86" s="381">
        <v>19</v>
      </c>
    </row>
    <row s="1642" customFormat="1" customHeight="1" ht="60.75" hidden="1">
      <c r="A87" s="1787" t="s">
        <v>241</v>
      </c>
      <c r="B87" s="1787" t="s">
        <v>242</v>
      </c>
      <c r="C87" s="376"/>
      <c r="D87" s="2469"/>
      <c r="E87" s="2211"/>
      <c r="F87" s="2390"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34" t="str">
        <f>INDEX(PT_DIFFERENTIATION_NTAR,MATCH(B87,PT_DIFFERENTIATION_NTAR_ID,0))</f>
        <v/>
      </c>
      <c r="H87" s="1869"/>
      <c r="I87" s="1746"/>
      <c r="J87" s="1780"/>
      <c r="K87" s="1785"/>
      <c r="L87" s="1869" t="s">
        <v>469</v>
      </c>
      <c r="M87" s="217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41"/>
      <c r="O87" s="1631"/>
      <c r="P87" s="1631"/>
      <c r="AH87" s="1638">
        <v>0</v>
      </c>
    </row>
    <row s="1642" customFormat="1" customHeight="1" ht="18.75" hidden="1">
      <c r="A88" s="1787"/>
      <c r="B88" s="1787"/>
      <c r="C88" s="376" t="s">
        <v>1307</v>
      </c>
      <c r="D88" s="2469"/>
      <c r="E88" s="2211"/>
      <c r="F88" s="2390"/>
      <c r="G88" s="2434"/>
      <c r="H88" s="1507"/>
      <c r="I88" s="658" t="s">
        <v>1306</v>
      </c>
      <c r="J88" s="578"/>
      <c r="K88" s="1507"/>
      <c r="L88" s="221"/>
      <c r="M88" s="2177"/>
      <c r="N88" s="341"/>
      <c r="O88" s="1631"/>
      <c r="P88" s="1631"/>
      <c r="AH88" s="1638">
        <v>0</v>
      </c>
    </row>
    <row s="1642" customFormat="1" customHeight="1" ht="0.75" hidden="1">
      <c r="A89" s="1787"/>
      <c r="B89" s="1787"/>
      <c r="C89" s="376" t="s">
        <v>1316</v>
      </c>
      <c r="D89" s="2469"/>
      <c r="E89" s="2211"/>
      <c r="F89" s="2390"/>
      <c r="G89" s="407"/>
      <c r="H89" s="1507"/>
      <c r="I89" s="658"/>
      <c r="J89" s="578"/>
      <c r="K89" s="1507"/>
      <c r="L89" s="221"/>
      <c r="M89" s="2177"/>
      <c r="N89" s="341"/>
      <c r="O89" s="1631"/>
      <c r="P89" s="1631"/>
      <c r="AH89" s="1638">
        <v>0</v>
      </c>
    </row>
    <row s="1642" customFormat="1" customHeight="1" ht="45" hidden="1">
      <c r="A90" s="1787" t="s">
        <v>246</v>
      </c>
      <c r="B90" s="1787" t="s">
        <v>247</v>
      </c>
      <c r="C90" s="376"/>
      <c r="D90" s="2469"/>
      <c r="E90" s="2211"/>
      <c r="F90" s="2390" t="str">
        <f>INDEX(PT_DIFFERENTIATION_VTAR,MATCH(A90,PT_DIFFERENTIATION_VTAR_ID,0))</f>
        <v/>
      </c>
      <c r="G90" s="2434" t="str">
        <f>INDEX(PT_DIFFERENTIATION_NTAR,MATCH(B90,PT_DIFFERENTIATION_NTAR_ID,0))</f>
        <v/>
      </c>
      <c r="H90" s="1869"/>
      <c r="I90" s="1746"/>
      <c r="J90" s="1780"/>
      <c r="K90" s="1785"/>
      <c r="L90" s="1869" t="s">
        <v>469</v>
      </c>
      <c r="M90" s="2178"/>
      <c r="N90" s="341"/>
      <c r="O90" s="1631"/>
      <c r="P90" s="1631"/>
      <c r="AH90" s="1638">
        <v>0</v>
      </c>
    </row>
    <row s="1642" customFormat="1" customHeight="1" ht="18.75" hidden="1">
      <c r="A91" s="1787"/>
      <c r="B91" s="1787"/>
      <c r="C91" s="376" t="s">
        <v>1307</v>
      </c>
      <c r="D91" s="2469"/>
      <c r="E91" s="2211"/>
      <c r="F91" s="2390"/>
      <c r="G91" s="2434"/>
      <c r="H91" s="1507"/>
      <c r="I91" s="658" t="s">
        <v>1306</v>
      </c>
      <c r="J91" s="578"/>
      <c r="K91" s="1507"/>
      <c r="L91" s="221"/>
      <c r="M91" s="1868"/>
      <c r="N91" s="341"/>
      <c r="O91" s="1631"/>
      <c r="P91" s="1631"/>
      <c r="AH91" s="1638">
        <v>0</v>
      </c>
    </row>
    <row s="1642" customFormat="1" customHeight="1" ht="0.75" hidden="1">
      <c r="A92" s="1787"/>
      <c r="B92" s="1787"/>
      <c r="C92" s="376" t="s">
        <v>1316</v>
      </c>
      <c r="D92" s="2469"/>
      <c r="E92" s="2211"/>
      <c r="F92" s="2390"/>
      <c r="G92" s="407"/>
      <c r="H92" s="1507"/>
      <c r="I92" s="658"/>
      <c r="J92" s="578"/>
      <c r="K92" s="1507"/>
      <c r="L92" s="221"/>
      <c r="M92" s="348"/>
      <c r="N92" s="341"/>
      <c r="O92" s="1631"/>
      <c r="P92" s="1631"/>
      <c r="AH92" s="1638">
        <v>0</v>
      </c>
    </row>
    <row s="1642" customFormat="1" customHeight="1" ht="45" hidden="1">
      <c r="A93" s="1787" t="s">
        <v>253</v>
      </c>
      <c r="B93" s="1787" t="s">
        <v>254</v>
      </c>
      <c r="C93" s="376"/>
      <c r="D93" s="2469"/>
      <c r="E93" s="2211"/>
      <c r="F93" s="2390"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34" t="str">
        <f>INDEX(PT_DIFFERENTIATION_NTAR,MATCH(B93,PT_DIFFERENTIATION_NTAR_ID,0))</f>
        <v/>
      </c>
      <c r="H93" s="1869"/>
      <c r="I93" s="1746"/>
      <c r="J93" s="1780"/>
      <c r="K93" s="1785"/>
      <c r="L93" s="1869" t="s">
        <v>469</v>
      </c>
      <c r="M93" s="348"/>
      <c r="N93" s="341"/>
      <c r="O93" s="1631"/>
      <c r="P93" s="1631"/>
      <c r="AH93" s="1638">
        <v>0</v>
      </c>
    </row>
    <row s="1642" customFormat="1" customHeight="1" ht="18.75" hidden="1">
      <c r="A94" s="1787"/>
      <c r="B94" s="1787"/>
      <c r="C94" s="376" t="s">
        <v>1307</v>
      </c>
      <c r="D94" s="2469"/>
      <c r="E94" s="2211"/>
      <c r="F94" s="2390"/>
      <c r="G94" s="2434"/>
      <c r="H94" s="1507"/>
      <c r="I94" s="658" t="s">
        <v>1306</v>
      </c>
      <c r="J94" s="578"/>
      <c r="K94" s="1507"/>
      <c r="L94" s="221"/>
      <c r="M94" s="348"/>
      <c r="N94" s="341"/>
      <c r="O94" s="1631"/>
      <c r="P94" s="1631"/>
      <c r="AH94" s="1638">
        <v>0</v>
      </c>
    </row>
    <row s="1642" customFormat="1" customHeight="1" ht="0.75" hidden="1">
      <c r="A95" s="1787"/>
      <c r="B95" s="1787"/>
      <c r="C95" s="376" t="s">
        <v>1316</v>
      </c>
      <c r="D95" s="2469"/>
      <c r="E95" s="2211"/>
      <c r="F95" s="2390"/>
      <c r="G95" s="407"/>
      <c r="H95" s="1507"/>
      <c r="I95" s="658"/>
      <c r="J95" s="578"/>
      <c r="K95" s="1507"/>
      <c r="L95" s="221"/>
      <c r="M95" s="348"/>
      <c r="N95" s="341"/>
      <c r="O95" s="1631"/>
      <c r="P95" s="1631"/>
      <c r="AH95" s="1638">
        <v>0</v>
      </c>
    </row>
    <row s="1642" customFormat="1" customHeight="1" ht="45" hidden="1">
      <c r="A96" s="1787" t="s">
        <v>259</v>
      </c>
      <c r="B96" s="1787" t="s">
        <v>260</v>
      </c>
      <c r="C96" s="376"/>
      <c r="D96" s="2469"/>
      <c r="E96" s="2211"/>
      <c r="F96" s="2390"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34" t="str">
        <f>INDEX(PT_DIFFERENTIATION_NTAR,MATCH(B96,PT_DIFFERENTIATION_NTAR_ID,0))</f>
        <v/>
      </c>
      <c r="H96" s="1869"/>
      <c r="I96" s="1746"/>
      <c r="J96" s="1780"/>
      <c r="K96" s="1785"/>
      <c r="L96" s="1869" t="s">
        <v>469</v>
      </c>
      <c r="M96" s="348"/>
      <c r="N96" s="341"/>
      <c r="O96" s="1631"/>
      <c r="P96" s="1631"/>
      <c r="AH96" s="1638">
        <v>0</v>
      </c>
    </row>
    <row s="1642" customFormat="1" customHeight="1" ht="18.75" hidden="1">
      <c r="A97" s="1787"/>
      <c r="B97" s="1787"/>
      <c r="C97" s="376" t="s">
        <v>1307</v>
      </c>
      <c r="D97" s="2469"/>
      <c r="E97" s="2211"/>
      <c r="F97" s="2390"/>
      <c r="G97" s="2434"/>
      <c r="H97" s="1507"/>
      <c r="I97" s="658" t="s">
        <v>1306</v>
      </c>
      <c r="J97" s="578"/>
      <c r="K97" s="1507"/>
      <c r="L97" s="221"/>
      <c r="M97" s="348"/>
      <c r="N97" s="341"/>
      <c r="O97" s="1631"/>
      <c r="P97" s="1631"/>
      <c r="AH97" s="1638">
        <v>0</v>
      </c>
    </row>
    <row s="1642" customFormat="1" customHeight="1" ht="0.75" hidden="1">
      <c r="A98" s="1787"/>
      <c r="B98" s="1787"/>
      <c r="C98" s="376" t="s">
        <v>1316</v>
      </c>
      <c r="D98" s="2469"/>
      <c r="E98" s="2211"/>
      <c r="F98" s="2390"/>
      <c r="G98" s="407"/>
      <c r="H98" s="1507"/>
      <c r="I98" s="658"/>
      <c r="J98" s="578"/>
      <c r="K98" s="1507"/>
      <c r="L98" s="221"/>
      <c r="M98" s="348"/>
      <c r="N98" s="341"/>
      <c r="O98" s="1631"/>
      <c r="P98" s="1631"/>
      <c r="AH98" s="1638">
        <v>0</v>
      </c>
    </row>
    <row s="1642" customFormat="1" customHeight="1" ht="18.75" hidden="1">
      <c r="A99" s="1787" t="s">
        <v>265</v>
      </c>
      <c r="B99" s="1787" t="s">
        <v>266</v>
      </c>
      <c r="C99" s="376"/>
      <c r="D99" s="2469"/>
      <c r="E99" s="2211"/>
      <c r="F99" s="2390" t="str">
        <f>INDEX(PT_DIFFERENTIATION_VTAR,MATCH(A99,PT_DIFFERENTIATION_VTAR_ID,0))</f>
        <v>Тарифы на услуги по передаче тепловой энергии</v>
      </c>
      <c r="G99" s="2434" t="str">
        <f>INDEX(PT_DIFFERENTIATION_NTAR,MATCH(B99,PT_DIFFERENTIATION_NTAR_ID,0))</f>
        <v/>
      </c>
      <c r="H99" s="1869"/>
      <c r="I99" s="1746"/>
      <c r="J99" s="1780"/>
      <c r="K99" s="1785"/>
      <c r="L99" s="1869" t="s">
        <v>469</v>
      </c>
      <c r="M99" s="348"/>
      <c r="N99" s="341"/>
      <c r="O99" s="1631"/>
      <c r="P99" s="1631"/>
      <c r="AH99" s="1638">
        <v>0</v>
      </c>
    </row>
    <row s="1642" customFormat="1" customHeight="1" ht="18.75" hidden="1">
      <c r="A100" s="1787"/>
      <c r="B100" s="1787"/>
      <c r="C100" s="376" t="s">
        <v>1307</v>
      </c>
      <c r="D100" s="2469"/>
      <c r="E100" s="2211"/>
      <c r="F100" s="2390"/>
      <c r="G100" s="2434"/>
      <c r="H100" s="1507"/>
      <c r="I100" s="658" t="s">
        <v>1306</v>
      </c>
      <c r="J100" s="578"/>
      <c r="K100" s="1507"/>
      <c r="L100" s="221"/>
      <c r="M100" s="348"/>
      <c r="N100" s="341"/>
      <c r="O100" s="1631"/>
      <c r="P100" s="1631"/>
      <c r="AH100" s="1638">
        <v>0</v>
      </c>
    </row>
    <row s="1642" customFormat="1" customHeight="1" ht="0.75" hidden="1">
      <c r="A101" s="1787"/>
      <c r="B101" s="1787"/>
      <c r="C101" s="376" t="s">
        <v>1316</v>
      </c>
      <c r="D101" s="2469"/>
      <c r="E101" s="2211"/>
      <c r="F101" s="2390"/>
      <c r="G101" s="407"/>
      <c r="H101" s="1507"/>
      <c r="I101" s="658"/>
      <c r="J101" s="578"/>
      <c r="K101" s="1507"/>
      <c r="L101" s="221"/>
      <c r="M101" s="348"/>
      <c r="N101" s="341"/>
      <c r="O101" s="1631"/>
      <c r="P101" s="1631"/>
      <c r="AH101" s="1638">
        <v>0</v>
      </c>
    </row>
    <row s="1642" customFormat="1" customHeight="1" ht="18.75" hidden="1">
      <c r="A102" s="1787" t="s">
        <v>271</v>
      </c>
      <c r="B102" s="1787" t="s">
        <v>272</v>
      </c>
      <c r="C102" s="376"/>
      <c r="D102" s="2469"/>
      <c r="E102" s="2211"/>
      <c r="F102" s="2390" t="str">
        <f>INDEX(PT_DIFFERENTIATION_VTAR,MATCH(A102,PT_DIFFERENTIATION_VTAR_ID,0))</f>
        <v>Тарифы на услуги по передаче теплоносителя</v>
      </c>
      <c r="G102" s="2434" t="str">
        <f>INDEX(PT_DIFFERENTIATION_NTAR,MATCH(B102,PT_DIFFERENTIATION_NTAR_ID,0))</f>
        <v/>
      </c>
      <c r="H102" s="1869"/>
      <c r="I102" s="1746"/>
      <c r="J102" s="1780"/>
      <c r="K102" s="1785"/>
      <c r="L102" s="1869" t="s">
        <v>469</v>
      </c>
      <c r="M102" s="348"/>
      <c r="N102" s="341"/>
      <c r="O102" s="1631"/>
      <c r="P102" s="1631"/>
      <c r="AH102" s="1638">
        <v>0</v>
      </c>
    </row>
    <row s="1642" customFormat="1" customHeight="1" ht="18.75" hidden="1">
      <c r="A103" s="1787"/>
      <c r="B103" s="1787"/>
      <c r="C103" s="376" t="s">
        <v>1307</v>
      </c>
      <c r="D103" s="2469"/>
      <c r="E103" s="2211"/>
      <c r="F103" s="2390"/>
      <c r="G103" s="2434"/>
      <c r="H103" s="1507"/>
      <c r="I103" s="658" t="s">
        <v>1306</v>
      </c>
      <c r="J103" s="578"/>
      <c r="K103" s="1507"/>
      <c r="L103" s="221"/>
      <c r="M103" s="348"/>
      <c r="N103" s="341"/>
      <c r="O103" s="1631"/>
      <c r="P103" s="1631"/>
      <c r="AH103" s="1638">
        <v>0</v>
      </c>
    </row>
    <row s="1642" customFormat="1" customHeight="1" ht="0.75" hidden="1">
      <c r="A104" s="1787"/>
      <c r="B104" s="1787"/>
      <c r="C104" s="376" t="s">
        <v>1316</v>
      </c>
      <c r="D104" s="2469"/>
      <c r="E104" s="2211"/>
      <c r="F104" s="2390"/>
      <c r="G104" s="407"/>
      <c r="H104" s="1507"/>
      <c r="I104" s="658"/>
      <c r="J104" s="578"/>
      <c r="K104" s="1507"/>
      <c r="L104" s="221"/>
      <c r="M104" s="348"/>
      <c r="N104" s="341"/>
      <c r="O104" s="1631"/>
      <c r="P104" s="1631"/>
      <c r="AH104" s="1638">
        <v>0</v>
      </c>
    </row>
    <row s="1642" customFormat="1" customHeight="1" ht="18.75" hidden="1">
      <c r="A105" s="1787" t="s">
        <v>277</v>
      </c>
      <c r="B105" s="1787" t="s">
        <v>278</v>
      </c>
      <c r="C105" s="376"/>
      <c r="D105" s="2469"/>
      <c r="E105" s="2211"/>
      <c r="F105" s="2390"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34" t="str">
        <f>INDEX(PT_DIFFERENTIATION_NTAR,MATCH(B105,PT_DIFFERENTIATION_NTAR_ID,0))</f>
        <v/>
      </c>
      <c r="H105" s="1869"/>
      <c r="I105" s="1746"/>
      <c r="J105" s="1780"/>
      <c r="K105" s="1785"/>
      <c r="L105" s="1869" t="s">
        <v>469</v>
      </c>
      <c r="M105" s="348"/>
      <c r="N105" s="341"/>
      <c r="O105" s="1631"/>
      <c r="P105" s="1631"/>
      <c r="AH105" s="1638">
        <v>0</v>
      </c>
    </row>
    <row s="1642" customFormat="1" customHeight="1" ht="18.75" hidden="1">
      <c r="A106" s="1787"/>
      <c r="B106" s="1787"/>
      <c r="C106" s="376" t="s">
        <v>1307</v>
      </c>
      <c r="D106" s="2469"/>
      <c r="E106" s="2211"/>
      <c r="F106" s="2390"/>
      <c r="G106" s="2434"/>
      <c r="H106" s="1507"/>
      <c r="I106" s="658" t="s">
        <v>1306</v>
      </c>
      <c r="J106" s="578"/>
      <c r="K106" s="1507"/>
      <c r="L106" s="221"/>
      <c r="M106" s="348"/>
      <c r="N106" s="341"/>
      <c r="O106" s="1631"/>
      <c r="P106" s="1631"/>
      <c r="AH106" s="1638">
        <v>0</v>
      </c>
    </row>
    <row s="1642" customFormat="1" customHeight="1" ht="0.75" hidden="1">
      <c r="A107" s="1787"/>
      <c r="B107" s="1787"/>
      <c r="C107" s="376" t="s">
        <v>1316</v>
      </c>
      <c r="D107" s="2469"/>
      <c r="E107" s="2211"/>
      <c r="F107" s="2390"/>
      <c r="G107" s="407"/>
      <c r="H107" s="1507"/>
      <c r="I107" s="658"/>
      <c r="J107" s="578"/>
      <c r="K107" s="1507"/>
      <c r="L107" s="221"/>
      <c r="M107" s="348"/>
      <c r="N107" s="341"/>
      <c r="O107" s="1631"/>
      <c r="P107" s="1631"/>
      <c r="AH107" s="1638">
        <v>0</v>
      </c>
    </row>
    <row s="1642" customFormat="1" customHeight="1" ht="18.75" hidden="1">
      <c r="A108" s="1787" t="s">
        <v>283</v>
      </c>
      <c r="B108" s="1787" t="s">
        <v>284</v>
      </c>
      <c r="C108" s="376"/>
      <c r="D108" s="2469"/>
      <c r="E108" s="2211"/>
      <c r="F108" s="2390" t="str">
        <f>INDEX(PT_DIFFERENTIATION_VTAR,MATCH(A108,PT_DIFFERENTIATION_VTAR_ID,0))</f>
        <v>Плата за подключение (технологическое присоединение) к системе теплоснабжения</v>
      </c>
      <c r="G108" s="2434" t="str">
        <f>INDEX(PT_DIFFERENTIATION_NTAR,MATCH(B108,PT_DIFFERENTIATION_NTAR_ID,0))</f>
        <v/>
      </c>
      <c r="H108" s="1869"/>
      <c r="I108" s="1746"/>
      <c r="J108" s="1780"/>
      <c r="K108" s="1785"/>
      <c r="L108" s="1869" t="s">
        <v>469</v>
      </c>
      <c r="M108" s="348"/>
      <c r="N108" s="341"/>
      <c r="O108" s="1631"/>
      <c r="P108" s="1631"/>
      <c r="AH108" s="1638">
        <v>0</v>
      </c>
    </row>
    <row s="1642" customFormat="1" customHeight="1" ht="18.75" hidden="1">
      <c r="A109" s="1787"/>
      <c r="B109" s="1787"/>
      <c r="C109" s="376" t="s">
        <v>1307</v>
      </c>
      <c r="D109" s="2469"/>
      <c r="E109" s="2211"/>
      <c r="F109" s="2390"/>
      <c r="G109" s="2434"/>
      <c r="H109" s="1507"/>
      <c r="I109" s="658" t="s">
        <v>1306</v>
      </c>
      <c r="J109" s="578"/>
      <c r="K109" s="1507"/>
      <c r="L109" s="221"/>
      <c r="M109" s="348"/>
      <c r="N109" s="341"/>
      <c r="O109" s="1631"/>
      <c r="P109" s="1631"/>
      <c r="AH109" s="1638">
        <v>0</v>
      </c>
    </row>
    <row s="1642" customFormat="1" customHeight="1" ht="0.75" hidden="1">
      <c r="A110" s="1787"/>
      <c r="B110" s="1787"/>
      <c r="C110" s="376" t="s">
        <v>1316</v>
      </c>
      <c r="D110" s="2469"/>
      <c r="E110" s="2211"/>
      <c r="F110" s="2390"/>
      <c r="G110" s="407"/>
      <c r="H110" s="1507"/>
      <c r="I110" s="658"/>
      <c r="J110" s="578"/>
      <c r="K110" s="1507"/>
      <c r="L110" s="221"/>
      <c r="M110" s="348"/>
      <c r="N110" s="341"/>
      <c r="O110" s="1631"/>
      <c r="P110" s="1631"/>
      <c r="AH110" s="1638">
        <v>0</v>
      </c>
    </row>
    <row s="1642" customFormat="1" customHeight="1" ht="18.75" hidden="1">
      <c r="A111" s="1787" t="s">
        <v>289</v>
      </c>
      <c r="B111" s="1787" t="s">
        <v>290</v>
      </c>
      <c r="C111" s="376"/>
      <c r="D111" s="2469"/>
      <c r="E111" s="2211"/>
      <c r="F111" s="2390" t="str">
        <f>INDEX(PT_DIFFERENTIATION_VTAR,MATCH(A111,PT_DIFFERENTIATION_VTAR_ID,0))</f>
        <v>Плата за подключение (технологическое присоединение) к системе теплоснабжения (индивидуальная)</v>
      </c>
      <c r="G111" s="2434" t="str">
        <f>INDEX(PT_DIFFERENTIATION_NTAR,MATCH(B111,PT_DIFFERENTIATION_NTAR_ID,0))</f>
        <v/>
      </c>
      <c r="H111" s="1996"/>
      <c r="I111" s="1746"/>
      <c r="J111" s="1780"/>
      <c r="K111" s="1785"/>
      <c r="L111" s="1996" t="s">
        <v>469</v>
      </c>
      <c r="M111" s="348"/>
      <c r="N111" s="341"/>
      <c r="O111" s="1631"/>
      <c r="P111" s="1631"/>
      <c r="AH111" s="1638">
        <v>0</v>
      </c>
    </row>
    <row s="1642" customFormat="1" customHeight="1" ht="18.75" hidden="1">
      <c r="A112" s="1787"/>
      <c r="B112" s="1787"/>
      <c r="C112" s="376" t="s">
        <v>1307</v>
      </c>
      <c r="D112" s="2469"/>
      <c r="E112" s="2211"/>
      <c r="F112" s="2390"/>
      <c r="G112" s="2434"/>
      <c r="H112" s="1507"/>
      <c r="I112" s="658" t="s">
        <v>1306</v>
      </c>
      <c r="J112" s="578"/>
      <c r="K112" s="1507"/>
      <c r="L112" s="221"/>
      <c r="M112" s="348"/>
      <c r="N112" s="341"/>
      <c r="O112" s="1631"/>
      <c r="P112" s="1631"/>
      <c r="AH112" s="1638">
        <v>0</v>
      </c>
    </row>
    <row s="1642" customFormat="1" customHeight="1" ht="0.75" hidden="1">
      <c r="A113" s="1787"/>
      <c r="B113" s="1787"/>
      <c r="C113" s="376" t="s">
        <v>1316</v>
      </c>
      <c r="D113" s="2469"/>
      <c r="E113" s="2211"/>
      <c r="F113" s="2390"/>
      <c r="G113" s="407"/>
      <c r="H113" s="1507"/>
      <c r="I113" s="658"/>
      <c r="J113" s="578"/>
      <c r="K113" s="1507"/>
      <c r="L113" s="221"/>
      <c r="M113" s="348"/>
      <c r="N113" s="341"/>
      <c r="O113" s="1631"/>
      <c r="P113" s="1631"/>
      <c r="AH113" s="1638">
        <v>0</v>
      </c>
    </row>
    <row s="1642" customFormat="1" customHeight="1" ht="18.75">
      <c r="A114" s="1787" t="s">
        <v>312</v>
      </c>
      <c r="B114" s="1787" t="s">
        <v>313</v>
      </c>
      <c r="C114" s="376"/>
      <c r="D114" s="2469"/>
      <c r="E114" s="2211"/>
      <c r="F114" s="2390" t="str">
        <f>INDEX(PT_DIFFERENTIATION_VTAR,MATCH(A114,PT_DIFFERENTIATION_VTAR_ID,0))</f>
        <v>Тариф на питьевую воду (питьевое водоснабжение)</v>
      </c>
      <c r="G114" s="2434" t="str">
        <f>INDEX(PT_DIFFERENTIATION_NTAR,MATCH(B114,PT_DIFFERENTIATION_NTAR_ID,0))</f>
        <v>Холодное водоснабжение. Питьевая вода</v>
      </c>
      <c r="H114" s="1869"/>
      <c r="I114" s="1746">
        <v>45658</v>
      </c>
      <c r="J114" s="1780">
        <v>46022</v>
      </c>
      <c r="K114" s="1785">
        <v>0</v>
      </c>
      <c r="L114" s="1869" t="s">
        <v>469</v>
      </c>
      <c r="M114" s="348"/>
      <c r="N114" s="341"/>
      <c r="O114" s="1631"/>
      <c r="P114" s="1631"/>
      <c r="AH114" s="1638">
        <v>0</v>
      </c>
    </row>
    <row s="1642" customFormat="1" customHeight="1" ht="18.75">
      <c r="A115" s="1787"/>
      <c r="B115" s="1787"/>
      <c r="C115" s="376" t="s">
        <v>1307</v>
      </c>
      <c r="D115" s="2469"/>
      <c r="E115" s="2211"/>
      <c r="F115" s="2390"/>
      <c r="G115" s="2434"/>
      <c r="H115" s="1507"/>
      <c r="I115" s="658" t="s">
        <v>1306</v>
      </c>
      <c r="J115" s="578"/>
      <c r="K115" s="1507"/>
      <c r="L115" s="221"/>
      <c r="M115" s="348"/>
      <c r="N115" s="341"/>
      <c r="O115" s="1631"/>
      <c r="P115" s="1631"/>
      <c r="AH115" s="1638">
        <v>0</v>
      </c>
    </row>
    <row s="1642" customFormat="1" customHeight="1" ht="0.75">
      <c r="A116" s="1787"/>
      <c r="B116" s="1787"/>
      <c r="C116" s="376" t="s">
        <v>1316</v>
      </c>
      <c r="D116" s="2469"/>
      <c r="E116" s="2211"/>
      <c r="F116" s="2390"/>
      <c r="G116" s="407"/>
      <c r="H116" s="1507"/>
      <c r="I116" s="658"/>
      <c r="J116" s="578"/>
      <c r="K116" s="1507"/>
      <c r="L116" s="221"/>
      <c r="M116" s="348"/>
      <c r="N116" s="341"/>
      <c r="O116" s="1631"/>
      <c r="P116" s="1631"/>
      <c r="AH116" s="1638">
        <v>0</v>
      </c>
    </row>
    <row s="1642" customFormat="1" customHeight="1" ht="18.75" hidden="1">
      <c r="A117" s="1787" t="s">
        <v>393</v>
      </c>
      <c r="B117" s="1787" t="s">
        <v>394</v>
      </c>
      <c r="C117" s="376"/>
      <c r="D117" s="2469"/>
      <c r="E117" s="2211"/>
      <c r="F117" s="2390" t="str">
        <f>INDEX(PT_DIFFERENTIATION_VTAR,MATCH(A117,PT_DIFFERENTIATION_VTAR_ID,0))</f>
        <v>Тариф на техническую воду</v>
      </c>
      <c r="G117" s="2434" t="str">
        <f>INDEX(PT_DIFFERENTIATION_NTAR,MATCH(B117,PT_DIFFERENTIATION_NTAR_ID,0))</f>
        <v/>
      </c>
      <c r="H117" s="1869"/>
      <c r="I117" s="1746"/>
      <c r="J117" s="1780"/>
      <c r="K117" s="1785"/>
      <c r="L117" s="1869" t="s">
        <v>469</v>
      </c>
      <c r="M117" s="348"/>
      <c r="N117" s="341"/>
      <c r="O117" s="1631"/>
      <c r="P117" s="1631"/>
      <c r="AH117" s="1638">
        <v>0</v>
      </c>
    </row>
    <row s="1642" customFormat="1" customHeight="1" ht="18.75" hidden="1">
      <c r="A118" s="1787"/>
      <c r="B118" s="1787"/>
      <c r="C118" s="376" t="s">
        <v>1307</v>
      </c>
      <c r="D118" s="2469"/>
      <c r="E118" s="2211"/>
      <c r="F118" s="2390"/>
      <c r="G118" s="2434"/>
      <c r="H118" s="1507"/>
      <c r="I118" s="658" t="s">
        <v>1306</v>
      </c>
      <c r="J118" s="578"/>
      <c r="K118" s="1507"/>
      <c r="L118" s="221"/>
      <c r="M118" s="348"/>
      <c r="N118" s="341"/>
      <c r="O118" s="1631"/>
      <c r="P118" s="1631"/>
      <c r="AH118" s="1638">
        <v>0</v>
      </c>
    </row>
    <row s="1642" customFormat="1" customHeight="1" ht="0.75" hidden="1">
      <c r="A119" s="1787"/>
      <c r="B119" s="1787"/>
      <c r="C119" s="376" t="s">
        <v>1316</v>
      </c>
      <c r="D119" s="2469"/>
      <c r="E119" s="2211"/>
      <c r="F119" s="2390"/>
      <c r="G119" s="407"/>
      <c r="H119" s="1507"/>
      <c r="I119" s="658"/>
      <c r="J119" s="578"/>
      <c r="K119" s="1507"/>
      <c r="L119" s="221"/>
      <c r="M119" s="348"/>
      <c r="N119" s="341"/>
      <c r="O119" s="1631"/>
      <c r="P119" s="1631"/>
      <c r="AH119" s="1638">
        <v>0</v>
      </c>
    </row>
    <row s="1642" customFormat="1" customHeight="1" ht="18.75" hidden="1">
      <c r="A120" s="1787" t="s">
        <v>398</v>
      </c>
      <c r="B120" s="1787" t="s">
        <v>399</v>
      </c>
      <c r="C120" s="376"/>
      <c r="D120" s="2469"/>
      <c r="E120" s="2211"/>
      <c r="F120" s="2390" t="str">
        <f>INDEX(PT_DIFFERENTIATION_VTAR,MATCH(A120,PT_DIFFERENTIATION_VTAR_ID,0))</f>
        <v>Тариф на транспортировку воды</v>
      </c>
      <c r="G120" s="2434" t="str">
        <f>INDEX(PT_DIFFERENTIATION_NTAR,MATCH(B120,PT_DIFFERENTIATION_NTAR_ID,0))</f>
        <v/>
      </c>
      <c r="H120" s="1869"/>
      <c r="I120" s="1746"/>
      <c r="J120" s="1780"/>
      <c r="K120" s="1785"/>
      <c r="L120" s="1869" t="s">
        <v>469</v>
      </c>
      <c r="M120" s="348"/>
      <c r="N120" s="341"/>
      <c r="O120" s="1631"/>
      <c r="P120" s="1631"/>
      <c r="AH120" s="1638">
        <v>0</v>
      </c>
    </row>
    <row s="1642" customFormat="1" customHeight="1" ht="18.75" hidden="1">
      <c r="A121" s="1787"/>
      <c r="B121" s="1787"/>
      <c r="C121" s="376" t="s">
        <v>1307</v>
      </c>
      <c r="D121" s="2469"/>
      <c r="E121" s="2211"/>
      <c r="F121" s="2390"/>
      <c r="G121" s="2434"/>
      <c r="H121" s="1507"/>
      <c r="I121" s="658" t="s">
        <v>1306</v>
      </c>
      <c r="J121" s="578"/>
      <c r="K121" s="1507"/>
      <c r="L121" s="221"/>
      <c r="M121" s="348"/>
      <c r="N121" s="341"/>
      <c r="O121" s="1631"/>
      <c r="P121" s="1631"/>
      <c r="AH121" s="1638">
        <v>0</v>
      </c>
    </row>
    <row s="1642" customFormat="1" customHeight="1" ht="0.75" hidden="1">
      <c r="A122" s="1787"/>
      <c r="B122" s="1787"/>
      <c r="C122" s="376" t="s">
        <v>1316</v>
      </c>
      <c r="D122" s="2469"/>
      <c r="E122" s="2211"/>
      <c r="F122" s="2390"/>
      <c r="G122" s="407"/>
      <c r="H122" s="1507"/>
      <c r="I122" s="658"/>
      <c r="J122" s="578"/>
      <c r="K122" s="1507"/>
      <c r="L122" s="221"/>
      <c r="M122" s="348"/>
      <c r="N122" s="341"/>
      <c r="O122" s="1631"/>
      <c r="P122" s="1631"/>
      <c r="AH122" s="1638">
        <v>0</v>
      </c>
    </row>
    <row s="1642" customFormat="1" customHeight="1" ht="18.75" hidden="1">
      <c r="A123" s="1787" t="s">
        <v>403</v>
      </c>
      <c r="B123" s="1787" t="s">
        <v>404</v>
      </c>
      <c r="C123" s="376"/>
      <c r="D123" s="2469"/>
      <c r="E123" s="2211"/>
      <c r="F123" s="2390" t="str">
        <f>INDEX(PT_DIFFERENTIATION_VTAR,MATCH(A123,PT_DIFFERENTIATION_VTAR_ID,0))</f>
        <v>Тариф на подвоз воды</v>
      </c>
      <c r="G123" s="2434" t="str">
        <f>INDEX(PT_DIFFERENTIATION_NTAR,MATCH(B123,PT_DIFFERENTIATION_NTAR_ID,0))</f>
        <v/>
      </c>
      <c r="H123" s="1869"/>
      <c r="I123" s="1746"/>
      <c r="J123" s="1780"/>
      <c r="K123" s="1785"/>
      <c r="L123" s="1869" t="s">
        <v>469</v>
      </c>
      <c r="M123" s="348"/>
      <c r="N123" s="341"/>
      <c r="O123" s="1631"/>
      <c r="P123" s="1631"/>
      <c r="AH123" s="1638">
        <v>0</v>
      </c>
    </row>
    <row s="1642" customFormat="1" customHeight="1" ht="18.75" hidden="1">
      <c r="A124" s="1787"/>
      <c r="B124" s="1787"/>
      <c r="C124" s="376" t="s">
        <v>1307</v>
      </c>
      <c r="D124" s="2469"/>
      <c r="E124" s="2211"/>
      <c r="F124" s="2390"/>
      <c r="G124" s="2434"/>
      <c r="H124" s="1507"/>
      <c r="I124" s="658" t="s">
        <v>1306</v>
      </c>
      <c r="J124" s="578"/>
      <c r="K124" s="1507"/>
      <c r="L124" s="221"/>
      <c r="M124" s="348"/>
      <c r="N124" s="341"/>
      <c r="O124" s="1631"/>
      <c r="P124" s="1631"/>
      <c r="AH124" s="1638">
        <v>0</v>
      </c>
    </row>
    <row s="1642" customFormat="1" customHeight="1" ht="0.75" hidden="1">
      <c r="A125" s="1787"/>
      <c r="B125" s="1787"/>
      <c r="C125" s="376" t="s">
        <v>1316</v>
      </c>
      <c r="D125" s="2469"/>
      <c r="E125" s="2211"/>
      <c r="F125" s="2390"/>
      <c r="G125" s="407"/>
      <c r="H125" s="1507"/>
      <c r="I125" s="658"/>
      <c r="J125" s="578"/>
      <c r="K125" s="1507"/>
      <c r="L125" s="221"/>
      <c r="M125" s="348"/>
      <c r="N125" s="341"/>
      <c r="O125" s="1631"/>
      <c r="P125" s="1631"/>
      <c r="AH125" s="1638">
        <v>0</v>
      </c>
    </row>
    <row s="1642" customFormat="1" customHeight="1" ht="18.75" hidden="1">
      <c r="A126" s="1787" t="s">
        <v>408</v>
      </c>
      <c r="B126" s="1787" t="s">
        <v>409</v>
      </c>
      <c r="C126" s="376"/>
      <c r="D126" s="2469"/>
      <c r="E126" s="2211"/>
      <c r="F126" s="2390"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34" t="str">
        <f>INDEX(PT_DIFFERENTIATION_NTAR,MATCH(B126,PT_DIFFERENTIATION_NTAR_ID,0))</f>
        <v/>
      </c>
      <c r="H126" s="1869"/>
      <c r="I126" s="1746"/>
      <c r="J126" s="1780"/>
      <c r="K126" s="1785"/>
      <c r="L126" s="1869" t="s">
        <v>469</v>
      </c>
      <c r="M126" s="348"/>
      <c r="N126" s="341"/>
      <c r="O126" s="1631"/>
      <c r="P126" s="1631"/>
      <c r="AH126" s="1638">
        <v>0</v>
      </c>
    </row>
    <row s="1642" customFormat="1" customHeight="1" ht="18.75" hidden="1">
      <c r="A127" s="1787"/>
      <c r="B127" s="1787"/>
      <c r="C127" s="376" t="s">
        <v>1307</v>
      </c>
      <c r="D127" s="2469"/>
      <c r="E127" s="2211"/>
      <c r="F127" s="2390"/>
      <c r="G127" s="2434"/>
      <c r="H127" s="1507"/>
      <c r="I127" s="658" t="s">
        <v>1306</v>
      </c>
      <c r="J127" s="578"/>
      <c r="K127" s="1507"/>
      <c r="L127" s="221"/>
      <c r="M127" s="348"/>
      <c r="N127" s="341"/>
      <c r="O127" s="1631"/>
      <c r="P127" s="1631"/>
      <c r="AH127" s="1638">
        <v>0</v>
      </c>
    </row>
    <row s="1642" customFormat="1" customHeight="1" ht="0.75" hidden="1">
      <c r="A128" s="1787"/>
      <c r="B128" s="1787"/>
      <c r="C128" s="376" t="s">
        <v>1316</v>
      </c>
      <c r="D128" s="2469"/>
      <c r="E128" s="2211"/>
      <c r="F128" s="2390"/>
      <c r="G128" s="407"/>
      <c r="H128" s="1507"/>
      <c r="I128" s="658"/>
      <c r="J128" s="578"/>
      <c r="K128" s="1507"/>
      <c r="L128" s="221"/>
      <c r="M128" s="348"/>
      <c r="N128" s="341"/>
      <c r="O128" s="1631"/>
      <c r="P128" s="1631"/>
      <c r="AH128" s="1638">
        <v>0</v>
      </c>
    </row>
    <row s="1642" customFormat="1" customHeight="1" ht="18.75" hidden="1">
      <c r="A129" s="1787" t="s">
        <v>413</v>
      </c>
      <c r="B129" s="1787" t="s">
        <v>414</v>
      </c>
      <c r="C129" s="376"/>
      <c r="D129" s="2469"/>
      <c r="E129" s="2211"/>
      <c r="F129" s="2390" t="str">
        <f>INDEX(PT_DIFFERENTIATION_VTAR,MATCH(A129,PT_DIFFERENTIATION_VTAR_ID,0))</f>
        <v>Тариф на горячую воду (горячее водоснабжение)</v>
      </c>
      <c r="G129" s="2434" t="str">
        <f>INDEX(PT_DIFFERENTIATION_NTAR,MATCH(B129,PT_DIFFERENTIATION_NTAR_ID,0))</f>
        <v/>
      </c>
      <c r="H129" s="1869"/>
      <c r="I129" s="1746"/>
      <c r="J129" s="1780"/>
      <c r="K129" s="1785"/>
      <c r="L129" s="1869" t="s">
        <v>469</v>
      </c>
      <c r="M129" s="348"/>
      <c r="N129" s="341"/>
      <c r="O129" s="1631"/>
      <c r="P129" s="1631"/>
      <c r="AH129" s="1638">
        <v>0</v>
      </c>
    </row>
    <row s="1642" customFormat="1" customHeight="1" ht="18.75" hidden="1">
      <c r="A130" s="1787"/>
      <c r="B130" s="1787"/>
      <c r="C130" s="376" t="s">
        <v>1307</v>
      </c>
      <c r="D130" s="2469"/>
      <c r="E130" s="2211"/>
      <c r="F130" s="2390"/>
      <c r="G130" s="2434"/>
      <c r="H130" s="1507"/>
      <c r="I130" s="658" t="s">
        <v>1306</v>
      </c>
      <c r="J130" s="578"/>
      <c r="K130" s="1507"/>
      <c r="L130" s="221"/>
      <c r="M130" s="348"/>
      <c r="N130" s="341"/>
      <c r="O130" s="1631"/>
      <c r="P130" s="1631"/>
      <c r="AH130" s="1638">
        <v>0</v>
      </c>
    </row>
    <row s="1642" customFormat="1" customHeight="1" ht="0.75" hidden="1">
      <c r="A131" s="1787"/>
      <c r="B131" s="1787"/>
      <c r="C131" s="376" t="s">
        <v>1316</v>
      </c>
      <c r="D131" s="2469"/>
      <c r="E131" s="2211"/>
      <c r="F131" s="2390"/>
      <c r="G131" s="407"/>
      <c r="H131" s="1507"/>
      <c r="I131" s="658"/>
      <c r="J131" s="578"/>
      <c r="K131" s="1507"/>
      <c r="L131" s="221"/>
      <c r="M131" s="348"/>
      <c r="N131" s="341"/>
      <c r="O131" s="1631"/>
      <c r="P131" s="1631"/>
      <c r="AH131" s="1638">
        <v>0</v>
      </c>
    </row>
    <row s="1642" customFormat="1" customHeight="1" ht="18.75" hidden="1">
      <c r="A132" s="1787" t="s">
        <v>418</v>
      </c>
      <c r="B132" s="1787" t="s">
        <v>419</v>
      </c>
      <c r="C132" s="376"/>
      <c r="D132" s="2469"/>
      <c r="E132" s="2211"/>
      <c r="F132" s="2390" t="str">
        <f>INDEX(PT_DIFFERENTIATION_VTAR,MATCH(A132,PT_DIFFERENTIATION_VTAR_ID,0))</f>
        <v>Тариф на транспортировку горячей воды</v>
      </c>
      <c r="G132" s="2434" t="str">
        <f>INDEX(PT_DIFFERENTIATION_NTAR,MATCH(B132,PT_DIFFERENTIATION_NTAR_ID,0))</f>
        <v/>
      </c>
      <c r="H132" s="1869"/>
      <c r="I132" s="1746"/>
      <c r="J132" s="1780"/>
      <c r="K132" s="1785"/>
      <c r="L132" s="1869" t="s">
        <v>469</v>
      </c>
      <c r="M132" s="348"/>
      <c r="N132" s="341"/>
      <c r="O132" s="1631"/>
      <c r="P132" s="1631"/>
      <c r="AH132" s="1638">
        <v>0</v>
      </c>
    </row>
    <row s="1642" customFormat="1" customHeight="1" ht="18.75" hidden="1">
      <c r="A133" s="1787"/>
      <c r="B133" s="1787"/>
      <c r="C133" s="376" t="s">
        <v>1307</v>
      </c>
      <c r="D133" s="2469"/>
      <c r="E133" s="2211"/>
      <c r="F133" s="2390"/>
      <c r="G133" s="2434"/>
      <c r="H133" s="1507"/>
      <c r="I133" s="658" t="s">
        <v>1306</v>
      </c>
      <c r="J133" s="578"/>
      <c r="K133" s="1507"/>
      <c r="L133" s="221"/>
      <c r="M133" s="348"/>
      <c r="N133" s="341"/>
      <c r="O133" s="1631"/>
      <c r="P133" s="1631"/>
      <c r="AH133" s="1638">
        <v>0</v>
      </c>
    </row>
    <row s="1642" customFormat="1" customHeight="1" ht="0.75" hidden="1">
      <c r="A134" s="1787"/>
      <c r="B134" s="1787"/>
      <c r="C134" s="376" t="s">
        <v>1316</v>
      </c>
      <c r="D134" s="2469"/>
      <c r="E134" s="2211"/>
      <c r="F134" s="2390"/>
      <c r="G134" s="407"/>
      <c r="H134" s="1507"/>
      <c r="I134" s="658"/>
      <c r="J134" s="578"/>
      <c r="K134" s="1507"/>
      <c r="L134" s="221"/>
      <c r="M134" s="348"/>
      <c r="N134" s="341"/>
      <c r="O134" s="1631"/>
      <c r="P134" s="1631"/>
      <c r="AH134" s="1638">
        <v>0</v>
      </c>
    </row>
    <row s="1642" customFormat="1" customHeight="1" ht="18.75" hidden="1">
      <c r="A135" s="1787" t="s">
        <v>423</v>
      </c>
      <c r="B135" s="1787" t="s">
        <v>424</v>
      </c>
      <c r="C135" s="376"/>
      <c r="D135" s="2469"/>
      <c r="E135" s="2211"/>
      <c r="F135" s="2390"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34" t="str">
        <f>INDEX(PT_DIFFERENTIATION_NTAR,MATCH(B135,PT_DIFFERENTIATION_NTAR_ID,0))</f>
        <v/>
      </c>
      <c r="H135" s="1869"/>
      <c r="I135" s="1746"/>
      <c r="J135" s="1780"/>
      <c r="K135" s="1785"/>
      <c r="L135" s="1869" t="s">
        <v>469</v>
      </c>
      <c r="M135" s="348"/>
      <c r="N135" s="341"/>
      <c r="O135" s="1631"/>
      <c r="P135" s="1631"/>
      <c r="AH135" s="1638">
        <v>0</v>
      </c>
    </row>
    <row s="1642" customFormat="1" customHeight="1" ht="18.75" hidden="1">
      <c r="A136" s="1787"/>
      <c r="B136" s="1787"/>
      <c r="C136" s="376" t="s">
        <v>1307</v>
      </c>
      <c r="D136" s="2469"/>
      <c r="E136" s="2211"/>
      <c r="F136" s="2390"/>
      <c r="G136" s="2434"/>
      <c r="H136" s="1507"/>
      <c r="I136" s="658" t="s">
        <v>1306</v>
      </c>
      <c r="J136" s="578"/>
      <c r="K136" s="1507"/>
      <c r="L136" s="221"/>
      <c r="M136" s="348"/>
      <c r="N136" s="341"/>
      <c r="O136" s="1631"/>
      <c r="P136" s="1631"/>
      <c r="AH136" s="1638">
        <v>0</v>
      </c>
    </row>
    <row s="1642" customFormat="1" customHeight="1" ht="0.75" hidden="1">
      <c r="A137" s="1787"/>
      <c r="B137" s="1787"/>
      <c r="C137" s="376" t="s">
        <v>1316</v>
      </c>
      <c r="D137" s="2469"/>
      <c r="E137" s="2211"/>
      <c r="F137" s="2390"/>
      <c r="G137" s="407"/>
      <c r="H137" s="1507"/>
      <c r="I137" s="658"/>
      <c r="J137" s="578"/>
      <c r="K137" s="1507"/>
      <c r="L137" s="221"/>
      <c r="M137" s="348"/>
      <c r="N137" s="341"/>
      <c r="O137" s="1631"/>
      <c r="P137" s="1631"/>
      <c r="AH137" s="1638">
        <v>0</v>
      </c>
    </row>
    <row s="1642" customFormat="1" customHeight="1" ht="18.75" hidden="1">
      <c r="A138" s="1787" t="s">
        <v>428</v>
      </c>
      <c r="B138" s="1787" t="s">
        <v>429</v>
      </c>
      <c r="C138" s="376"/>
      <c r="D138" s="2469"/>
      <c r="E138" s="2211"/>
      <c r="F138" s="2390" t="str">
        <f>INDEX(PT_DIFFERENTIATION_VTAR,MATCH(A138,PT_DIFFERENTIATION_VTAR_ID,0))</f>
        <v>Тариф на водоотведение</v>
      </c>
      <c r="G138" s="2434" t="str">
        <f>INDEX(PT_DIFFERENTIATION_NTAR,MATCH(B138,PT_DIFFERENTIATION_NTAR_ID,0))</f>
        <v/>
      </c>
      <c r="H138" s="1869"/>
      <c r="I138" s="1746"/>
      <c r="J138" s="1780"/>
      <c r="K138" s="1785"/>
      <c r="L138" s="1869" t="s">
        <v>469</v>
      </c>
      <c r="M138" s="348"/>
      <c r="N138" s="341"/>
      <c r="O138" s="1631"/>
      <c r="P138" s="1631"/>
      <c r="AH138" s="1638">
        <v>0</v>
      </c>
    </row>
    <row s="1642" customFormat="1" customHeight="1" ht="18.75" hidden="1">
      <c r="A139" s="1787"/>
      <c r="B139" s="1787"/>
      <c r="C139" s="376" t="s">
        <v>1307</v>
      </c>
      <c r="D139" s="2469"/>
      <c r="E139" s="2211"/>
      <c r="F139" s="2390"/>
      <c r="G139" s="2434"/>
      <c r="H139" s="1507"/>
      <c r="I139" s="658" t="s">
        <v>1306</v>
      </c>
      <c r="J139" s="578"/>
      <c r="K139" s="1507"/>
      <c r="L139" s="221"/>
      <c r="M139" s="348"/>
      <c r="N139" s="341"/>
      <c r="O139" s="1631"/>
      <c r="P139" s="1631"/>
      <c r="AH139" s="1638">
        <v>0</v>
      </c>
    </row>
    <row s="1642" customFormat="1" customHeight="1" ht="0.75" hidden="1">
      <c r="A140" s="1787"/>
      <c r="B140" s="1787"/>
      <c r="C140" s="376" t="s">
        <v>1316</v>
      </c>
      <c r="D140" s="2469"/>
      <c r="E140" s="2211"/>
      <c r="F140" s="2390"/>
      <c r="G140" s="407"/>
      <c r="H140" s="1507"/>
      <c r="I140" s="658"/>
      <c r="J140" s="578"/>
      <c r="K140" s="1507"/>
      <c r="L140" s="221"/>
      <c r="M140" s="348"/>
      <c r="N140" s="341"/>
      <c r="O140" s="1631"/>
      <c r="P140" s="1631"/>
      <c r="AH140" s="1638">
        <v>0</v>
      </c>
    </row>
    <row s="1642" customFormat="1" customHeight="1" ht="18.75" hidden="1">
      <c r="A141" s="1787" t="s">
        <v>433</v>
      </c>
      <c r="B141" s="1787" t="s">
        <v>434</v>
      </c>
      <c r="C141" s="376"/>
      <c r="D141" s="2469"/>
      <c r="E141" s="2211"/>
      <c r="F141" s="2390" t="str">
        <f>INDEX(PT_DIFFERENTIATION_VTAR,MATCH(A141,PT_DIFFERENTIATION_VTAR_ID,0))</f>
        <v>Тариф на транспортировку сточных вод</v>
      </c>
      <c r="G141" s="2434" t="str">
        <f>INDEX(PT_DIFFERENTIATION_NTAR,MATCH(B141,PT_DIFFERENTIATION_NTAR_ID,0))</f>
        <v/>
      </c>
      <c r="H141" s="1869"/>
      <c r="I141" s="1746"/>
      <c r="J141" s="1780"/>
      <c r="K141" s="1785"/>
      <c r="L141" s="1869" t="s">
        <v>469</v>
      </c>
      <c r="M141" s="348"/>
      <c r="N141" s="341"/>
      <c r="O141" s="1631"/>
      <c r="P141" s="1631"/>
      <c r="AH141" s="1638">
        <v>0</v>
      </c>
    </row>
    <row s="1642" customFormat="1" customHeight="1" ht="18.75" hidden="1">
      <c r="A142" s="1787"/>
      <c r="B142" s="1787"/>
      <c r="C142" s="376" t="s">
        <v>1307</v>
      </c>
      <c r="D142" s="2469"/>
      <c r="E142" s="2211"/>
      <c r="F142" s="2390"/>
      <c r="G142" s="2434"/>
      <c r="H142" s="1507"/>
      <c r="I142" s="658" t="s">
        <v>1306</v>
      </c>
      <c r="J142" s="578"/>
      <c r="K142" s="1507"/>
      <c r="L142" s="221"/>
      <c r="M142" s="348"/>
      <c r="N142" s="341"/>
      <c r="O142" s="1631"/>
      <c r="P142" s="1631"/>
      <c r="AH142" s="1638">
        <v>0</v>
      </c>
    </row>
    <row s="1642" customFormat="1" customHeight="1" ht="0.75" hidden="1">
      <c r="A143" s="1787"/>
      <c r="B143" s="1787"/>
      <c r="C143" s="376" t="s">
        <v>1316</v>
      </c>
      <c r="D143" s="2469"/>
      <c r="E143" s="2211"/>
      <c r="F143" s="2390"/>
      <c r="G143" s="407"/>
      <c r="H143" s="1507"/>
      <c r="I143" s="658"/>
      <c r="J143" s="578"/>
      <c r="K143" s="1507"/>
      <c r="L143" s="221"/>
      <c r="M143" s="348"/>
      <c r="N143" s="341"/>
      <c r="O143" s="1631"/>
      <c r="P143" s="1631"/>
      <c r="AH143" s="1638">
        <v>0</v>
      </c>
    </row>
    <row s="1642" customFormat="1" customHeight="1" ht="18.75" hidden="1">
      <c r="A144" s="1787" t="s">
        <v>438</v>
      </c>
      <c r="B144" s="1787" t="s">
        <v>439</v>
      </c>
      <c r="C144" s="376"/>
      <c r="D144" s="2469"/>
      <c r="E144" s="2211"/>
      <c r="F144" s="2390" t="str">
        <f>INDEX(PT_DIFFERENTIATION_VTAR,MATCH(A144,PT_DIFFERENTIATION_VTAR_ID,0))</f>
        <v>Тариф на подключение (технологическое присоединение) к централизованной системе водоотведения</v>
      </c>
      <c r="G144" s="2434" t="str">
        <f>INDEX(PT_DIFFERENTIATION_NTAR,MATCH(B144,PT_DIFFERENTIATION_NTAR_ID,0))</f>
        <v/>
      </c>
      <c r="H144" s="1869"/>
      <c r="I144" s="1746"/>
      <c r="J144" s="1780"/>
      <c r="K144" s="1785"/>
      <c r="L144" s="1869" t="s">
        <v>469</v>
      </c>
      <c r="M144" s="348"/>
      <c r="N144" s="341"/>
      <c r="O144" s="1631"/>
      <c r="P144" s="1631"/>
      <c r="AH144" s="1638">
        <v>0</v>
      </c>
    </row>
    <row s="1642" customFormat="1" customHeight="1" ht="18.75" hidden="1">
      <c r="A145" s="1787"/>
      <c r="B145" s="1787"/>
      <c r="C145" s="376" t="s">
        <v>1307</v>
      </c>
      <c r="D145" s="2469"/>
      <c r="E145" s="2211"/>
      <c r="F145" s="2390"/>
      <c r="G145" s="2434"/>
      <c r="H145" s="1507"/>
      <c r="I145" s="658" t="s">
        <v>1306</v>
      </c>
      <c r="J145" s="578"/>
      <c r="K145" s="1507"/>
      <c r="L145" s="221"/>
      <c r="M145" s="348"/>
      <c r="N145" s="341"/>
      <c r="O145" s="1631"/>
      <c r="P145" s="1631"/>
      <c r="AH145" s="1638">
        <v>0</v>
      </c>
    </row>
    <row s="1642" customFormat="1" customHeight="1" ht="1.05">
      <c r="A146" s="1787"/>
      <c r="B146" s="1787"/>
      <c r="C146" s="376" t="s">
        <v>1316</v>
      </c>
      <c r="D146" s="2469"/>
      <c r="E146" s="2211"/>
      <c r="F146" s="2390"/>
      <c r="G146" s="407"/>
      <c r="H146" s="1507"/>
      <c r="I146" s="658"/>
      <c r="J146" s="578"/>
      <c r="K146" s="1507"/>
      <c r="L146" s="221"/>
      <c r="M146" s="348"/>
      <c r="N146" s="341"/>
      <c r="O146" s="1631"/>
      <c r="P146" s="1631"/>
      <c r="AH146" s="1638">
        <v>1</v>
      </c>
    </row>
    <row customHeight="1" ht="19.95">
      <c r="A147" s="1787"/>
      <c r="B147" s="1787"/>
      <c r="D147" s="383"/>
      <c r="E147" s="154" t="s">
        <v>91</v>
      </c>
      <c r="F147" s="2467"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7"/>
      <c r="H147" s="2467"/>
      <c r="I147" s="2467"/>
      <c r="J147" s="2467"/>
      <c r="K147" s="2467"/>
      <c r="L147" s="2467"/>
      <c r="M147" s="304"/>
      <c r="N147" s="341"/>
      <c r="AH147" s="381">
        <v>19</v>
      </c>
    </row>
    <row s="1642" customFormat="1" customHeight="1" ht="60.75" hidden="1">
      <c r="A148" s="1787" t="s">
        <v>241</v>
      </c>
      <c r="B148" s="1787" t="s">
        <v>242</v>
      </c>
      <c r="C148" s="376"/>
      <c r="D148" s="2469"/>
      <c r="E148" s="2211"/>
      <c r="F148" s="2390"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34" t="str">
        <f>INDEX(PT_DIFFERENTIATION_NTAR,MATCH(B148,PT_DIFFERENTIATION_NTAR_ID,0))</f>
        <v/>
      </c>
      <c r="H148" s="1869"/>
      <c r="I148" s="1746"/>
      <c r="J148" s="1780"/>
      <c r="K148" s="1785"/>
      <c r="L148" s="1869" t="s">
        <v>469</v>
      </c>
      <c r="M148" s="217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41"/>
      <c r="O148" s="1631"/>
      <c r="P148" s="1631"/>
      <c r="AH148" s="1638">
        <v>0</v>
      </c>
    </row>
    <row s="1642" customFormat="1" customHeight="1" ht="18.75" hidden="1">
      <c r="A149" s="1787"/>
      <c r="B149" s="1787"/>
      <c r="C149" s="376" t="s">
        <v>1307</v>
      </c>
      <c r="D149" s="2469"/>
      <c r="E149" s="2211"/>
      <c r="F149" s="2390"/>
      <c r="G149" s="2434"/>
      <c r="H149" s="1507"/>
      <c r="I149" s="658" t="s">
        <v>1306</v>
      </c>
      <c r="J149" s="578"/>
      <c r="K149" s="1507"/>
      <c r="L149" s="221"/>
      <c r="M149" s="2177"/>
      <c r="N149" s="341"/>
      <c r="O149" s="1631"/>
      <c r="P149" s="1631"/>
      <c r="AH149" s="1638">
        <v>0</v>
      </c>
    </row>
    <row s="1642" customFormat="1" customHeight="1" ht="0.75" hidden="1">
      <c r="A150" s="1787"/>
      <c r="B150" s="1787"/>
      <c r="C150" s="376" t="s">
        <v>1316</v>
      </c>
      <c r="D150" s="2469"/>
      <c r="E150" s="2211"/>
      <c r="F150" s="2390"/>
      <c r="G150" s="407"/>
      <c r="H150" s="1507"/>
      <c r="I150" s="658"/>
      <c r="J150" s="578"/>
      <c r="K150" s="1507"/>
      <c r="L150" s="221"/>
      <c r="M150" s="2177"/>
      <c r="N150" s="341"/>
      <c r="O150" s="1631"/>
      <c r="P150" s="1631"/>
      <c r="AH150" s="1638">
        <v>0</v>
      </c>
    </row>
    <row s="1642" customFormat="1" customHeight="1" ht="45" hidden="1">
      <c r="A151" s="1787" t="s">
        <v>246</v>
      </c>
      <c r="B151" s="1787" t="s">
        <v>247</v>
      </c>
      <c r="C151" s="376"/>
      <c r="D151" s="2469"/>
      <c r="E151" s="2211"/>
      <c r="F151" s="2390" t="str">
        <f>INDEX(PT_DIFFERENTIATION_VTAR,MATCH(A151,PT_DIFFERENTIATION_VTAR_ID,0))</f>
        <v/>
      </c>
      <c r="G151" s="2434" t="str">
        <f>INDEX(PT_DIFFERENTIATION_NTAR,MATCH(B151,PT_DIFFERENTIATION_NTAR_ID,0))</f>
        <v/>
      </c>
      <c r="H151" s="1869"/>
      <c r="I151" s="1746"/>
      <c r="J151" s="1780"/>
      <c r="K151" s="1785"/>
      <c r="L151" s="1869" t="s">
        <v>469</v>
      </c>
      <c r="M151" s="2178"/>
      <c r="N151" s="341"/>
      <c r="O151" s="1631"/>
      <c r="P151" s="1631"/>
      <c r="AH151" s="1638">
        <v>0</v>
      </c>
    </row>
    <row s="1642" customFormat="1" customHeight="1" ht="18.75" hidden="1">
      <c r="A152" s="1787"/>
      <c r="B152" s="1787"/>
      <c r="C152" s="376" t="s">
        <v>1307</v>
      </c>
      <c r="D152" s="2469"/>
      <c r="E152" s="2211"/>
      <c r="F152" s="2390"/>
      <c r="G152" s="2434"/>
      <c r="H152" s="1507"/>
      <c r="I152" s="658" t="s">
        <v>1306</v>
      </c>
      <c r="J152" s="578"/>
      <c r="K152" s="1507"/>
      <c r="L152" s="221"/>
      <c r="M152" s="1868"/>
      <c r="N152" s="341"/>
      <c r="O152" s="1631"/>
      <c r="P152" s="1631"/>
      <c r="AH152" s="1638">
        <v>0</v>
      </c>
    </row>
    <row s="1642" customFormat="1" customHeight="1" ht="0.75" hidden="1">
      <c r="A153" s="1787"/>
      <c r="B153" s="1787"/>
      <c r="C153" s="376" t="s">
        <v>1316</v>
      </c>
      <c r="D153" s="2469"/>
      <c r="E153" s="2211"/>
      <c r="F153" s="2390"/>
      <c r="G153" s="407"/>
      <c r="H153" s="1507"/>
      <c r="I153" s="658"/>
      <c r="J153" s="578"/>
      <c r="K153" s="1507"/>
      <c r="L153" s="221"/>
      <c r="M153" s="348"/>
      <c r="N153" s="341"/>
      <c r="O153" s="1631"/>
      <c r="P153" s="1631"/>
      <c r="AH153" s="1638">
        <v>0</v>
      </c>
    </row>
    <row s="1642" customFormat="1" customHeight="1" ht="45" hidden="1">
      <c r="A154" s="1787" t="s">
        <v>253</v>
      </c>
      <c r="B154" s="1787" t="s">
        <v>254</v>
      </c>
      <c r="C154" s="376"/>
      <c r="D154" s="2469"/>
      <c r="E154" s="2211"/>
      <c r="F154" s="2390"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34" t="str">
        <f>INDEX(PT_DIFFERENTIATION_NTAR,MATCH(B154,PT_DIFFERENTIATION_NTAR_ID,0))</f>
        <v/>
      </c>
      <c r="H154" s="1869"/>
      <c r="I154" s="1746"/>
      <c r="J154" s="1780"/>
      <c r="K154" s="1785"/>
      <c r="L154" s="1869" t="s">
        <v>469</v>
      </c>
      <c r="M154" s="348"/>
      <c r="N154" s="341"/>
      <c r="O154" s="1631"/>
      <c r="P154" s="1631"/>
      <c r="AH154" s="1638">
        <v>0</v>
      </c>
    </row>
    <row s="1642" customFormat="1" customHeight="1" ht="18.75" hidden="1">
      <c r="A155" s="1787"/>
      <c r="B155" s="1787"/>
      <c r="C155" s="376" t="s">
        <v>1307</v>
      </c>
      <c r="D155" s="2469"/>
      <c r="E155" s="2211"/>
      <c r="F155" s="2390"/>
      <c r="G155" s="2434"/>
      <c r="H155" s="1507"/>
      <c r="I155" s="658" t="s">
        <v>1306</v>
      </c>
      <c r="J155" s="578"/>
      <c r="K155" s="1507"/>
      <c r="L155" s="221"/>
      <c r="M155" s="348"/>
      <c r="N155" s="341"/>
      <c r="O155" s="1631"/>
      <c r="P155" s="1631"/>
      <c r="AH155" s="1638">
        <v>0</v>
      </c>
    </row>
    <row s="1642" customFormat="1" customHeight="1" ht="0.75" hidden="1">
      <c r="A156" s="1787"/>
      <c r="B156" s="1787"/>
      <c r="C156" s="376" t="s">
        <v>1316</v>
      </c>
      <c r="D156" s="2469"/>
      <c r="E156" s="2211"/>
      <c r="F156" s="2390"/>
      <c r="G156" s="407"/>
      <c r="H156" s="1507"/>
      <c r="I156" s="658"/>
      <c r="J156" s="578"/>
      <c r="K156" s="1507"/>
      <c r="L156" s="221"/>
      <c r="M156" s="348"/>
      <c r="N156" s="341"/>
      <c r="O156" s="1631"/>
      <c r="P156" s="1631"/>
      <c r="AH156" s="1638">
        <v>0</v>
      </c>
    </row>
    <row s="1642" customFormat="1" customHeight="1" ht="45" hidden="1">
      <c r="A157" s="1787" t="s">
        <v>259</v>
      </c>
      <c r="B157" s="1787" t="s">
        <v>260</v>
      </c>
      <c r="C157" s="376"/>
      <c r="D157" s="2469"/>
      <c r="E157" s="2211"/>
      <c r="F157" s="2390"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34" t="str">
        <f>INDEX(PT_DIFFERENTIATION_NTAR,MATCH(B157,PT_DIFFERENTIATION_NTAR_ID,0))</f>
        <v/>
      </c>
      <c r="H157" s="1869"/>
      <c r="I157" s="1746"/>
      <c r="J157" s="1780"/>
      <c r="K157" s="1785"/>
      <c r="L157" s="1869" t="s">
        <v>469</v>
      </c>
      <c r="M157" s="348"/>
      <c r="N157" s="341"/>
      <c r="O157" s="1631"/>
      <c r="P157" s="1631"/>
      <c r="AH157" s="1638">
        <v>0</v>
      </c>
    </row>
    <row s="1642" customFormat="1" customHeight="1" ht="18.75" hidden="1">
      <c r="A158" s="1787"/>
      <c r="B158" s="1787"/>
      <c r="C158" s="376" t="s">
        <v>1307</v>
      </c>
      <c r="D158" s="2469"/>
      <c r="E158" s="2211"/>
      <c r="F158" s="2390"/>
      <c r="G158" s="2434"/>
      <c r="H158" s="1507"/>
      <c r="I158" s="658" t="s">
        <v>1306</v>
      </c>
      <c r="J158" s="578"/>
      <c r="K158" s="1507"/>
      <c r="L158" s="221"/>
      <c r="M158" s="348"/>
      <c r="N158" s="341"/>
      <c r="O158" s="1631"/>
      <c r="P158" s="1631"/>
      <c r="AH158" s="1638">
        <v>0</v>
      </c>
    </row>
    <row s="1642" customFormat="1" customHeight="1" ht="0.75" hidden="1">
      <c r="A159" s="1787"/>
      <c r="B159" s="1787"/>
      <c r="C159" s="376" t="s">
        <v>1316</v>
      </c>
      <c r="D159" s="2469"/>
      <c r="E159" s="2211"/>
      <c r="F159" s="2390"/>
      <c r="G159" s="407"/>
      <c r="H159" s="1507"/>
      <c r="I159" s="658"/>
      <c r="J159" s="578"/>
      <c r="K159" s="1507"/>
      <c r="L159" s="221"/>
      <c r="M159" s="348"/>
      <c r="N159" s="341"/>
      <c r="O159" s="1631"/>
      <c r="P159" s="1631"/>
      <c r="AH159" s="1638">
        <v>0</v>
      </c>
    </row>
    <row s="1642" customFormat="1" customHeight="1" ht="18.75" hidden="1">
      <c r="A160" s="1787" t="s">
        <v>265</v>
      </c>
      <c r="B160" s="1787" t="s">
        <v>266</v>
      </c>
      <c r="C160" s="376"/>
      <c r="D160" s="2469"/>
      <c r="E160" s="2211"/>
      <c r="F160" s="2390" t="str">
        <f>INDEX(PT_DIFFERENTIATION_VTAR,MATCH(A160,PT_DIFFERENTIATION_VTAR_ID,0))</f>
        <v>Тарифы на услуги по передаче тепловой энергии</v>
      </c>
      <c r="G160" s="2434" t="str">
        <f>INDEX(PT_DIFFERENTIATION_NTAR,MATCH(B160,PT_DIFFERENTIATION_NTAR_ID,0))</f>
        <v/>
      </c>
      <c r="H160" s="1869"/>
      <c r="I160" s="1746"/>
      <c r="J160" s="1780"/>
      <c r="K160" s="1785"/>
      <c r="L160" s="1869" t="s">
        <v>469</v>
      </c>
      <c r="M160" s="348"/>
      <c r="N160" s="341"/>
      <c r="O160" s="1631"/>
      <c r="P160" s="1631"/>
      <c r="AH160" s="1638">
        <v>0</v>
      </c>
    </row>
    <row s="1642" customFormat="1" customHeight="1" ht="18.75" hidden="1">
      <c r="A161" s="1787"/>
      <c r="B161" s="1787"/>
      <c r="C161" s="376" t="s">
        <v>1307</v>
      </c>
      <c r="D161" s="2469"/>
      <c r="E161" s="2211"/>
      <c r="F161" s="2390"/>
      <c r="G161" s="2434"/>
      <c r="H161" s="1507"/>
      <c r="I161" s="658" t="s">
        <v>1306</v>
      </c>
      <c r="J161" s="578"/>
      <c r="K161" s="1507"/>
      <c r="L161" s="221"/>
      <c r="M161" s="348"/>
      <c r="N161" s="341"/>
      <c r="O161" s="1631"/>
      <c r="P161" s="1631"/>
      <c r="AH161" s="1638">
        <v>0</v>
      </c>
    </row>
    <row s="1642" customFormat="1" customHeight="1" ht="0.75" hidden="1">
      <c r="A162" s="1787"/>
      <c r="B162" s="1787"/>
      <c r="C162" s="376" t="s">
        <v>1316</v>
      </c>
      <c r="D162" s="2469"/>
      <c r="E162" s="2211"/>
      <c r="F162" s="2390"/>
      <c r="G162" s="407"/>
      <c r="H162" s="1507"/>
      <c r="I162" s="658"/>
      <c r="J162" s="578"/>
      <c r="K162" s="1507"/>
      <c r="L162" s="221"/>
      <c r="M162" s="348"/>
      <c r="N162" s="341"/>
      <c r="O162" s="1631"/>
      <c r="P162" s="1631"/>
      <c r="AH162" s="1638">
        <v>0</v>
      </c>
    </row>
    <row s="1642" customFormat="1" customHeight="1" ht="18.75" hidden="1">
      <c r="A163" s="1787" t="s">
        <v>271</v>
      </c>
      <c r="B163" s="1787" t="s">
        <v>272</v>
      </c>
      <c r="C163" s="376"/>
      <c r="D163" s="2469"/>
      <c r="E163" s="2211"/>
      <c r="F163" s="2390" t="str">
        <f>INDEX(PT_DIFFERENTIATION_VTAR,MATCH(A163,PT_DIFFERENTIATION_VTAR_ID,0))</f>
        <v>Тарифы на услуги по передаче теплоносителя</v>
      </c>
      <c r="G163" s="2434" t="str">
        <f>INDEX(PT_DIFFERENTIATION_NTAR,MATCH(B163,PT_DIFFERENTIATION_NTAR_ID,0))</f>
        <v/>
      </c>
      <c r="H163" s="1869"/>
      <c r="I163" s="1746"/>
      <c r="J163" s="1780"/>
      <c r="K163" s="1785"/>
      <c r="L163" s="1869" t="s">
        <v>469</v>
      </c>
      <c r="M163" s="348"/>
      <c r="N163" s="341"/>
      <c r="O163" s="1631"/>
      <c r="P163" s="1631"/>
      <c r="AH163" s="1638">
        <v>0</v>
      </c>
    </row>
    <row s="1642" customFormat="1" customHeight="1" ht="18.75" hidden="1">
      <c r="A164" s="1787"/>
      <c r="B164" s="1787"/>
      <c r="C164" s="376" t="s">
        <v>1307</v>
      </c>
      <c r="D164" s="2469"/>
      <c r="E164" s="2211"/>
      <c r="F164" s="2390"/>
      <c r="G164" s="2434"/>
      <c r="H164" s="1507"/>
      <c r="I164" s="658" t="s">
        <v>1306</v>
      </c>
      <c r="J164" s="578"/>
      <c r="K164" s="1507"/>
      <c r="L164" s="221"/>
      <c r="M164" s="348"/>
      <c r="N164" s="341"/>
      <c r="O164" s="1631"/>
      <c r="P164" s="1631"/>
      <c r="AH164" s="1638">
        <v>0</v>
      </c>
    </row>
    <row s="1642" customFormat="1" customHeight="1" ht="0.75" hidden="1">
      <c r="A165" s="1787"/>
      <c r="B165" s="1787"/>
      <c r="C165" s="376" t="s">
        <v>1316</v>
      </c>
      <c r="D165" s="2469"/>
      <c r="E165" s="2211"/>
      <c r="F165" s="2390"/>
      <c r="G165" s="407"/>
      <c r="H165" s="1507"/>
      <c r="I165" s="658"/>
      <c r="J165" s="578"/>
      <c r="K165" s="1507"/>
      <c r="L165" s="221"/>
      <c r="M165" s="348"/>
      <c r="N165" s="341"/>
      <c r="O165" s="1631"/>
      <c r="P165" s="1631"/>
      <c r="AH165" s="1638">
        <v>0</v>
      </c>
    </row>
    <row s="1642" customFormat="1" customHeight="1" ht="18.75" hidden="1">
      <c r="A166" s="1787" t="s">
        <v>277</v>
      </c>
      <c r="B166" s="1787" t="s">
        <v>278</v>
      </c>
      <c r="C166" s="376"/>
      <c r="D166" s="2469"/>
      <c r="E166" s="2211"/>
      <c r="F166" s="2390"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34" t="str">
        <f>INDEX(PT_DIFFERENTIATION_NTAR,MATCH(B166,PT_DIFFERENTIATION_NTAR_ID,0))</f>
        <v/>
      </c>
      <c r="H166" s="1869"/>
      <c r="I166" s="1746"/>
      <c r="J166" s="1780"/>
      <c r="K166" s="1785"/>
      <c r="L166" s="1869" t="s">
        <v>469</v>
      </c>
      <c r="M166" s="348"/>
      <c r="N166" s="341"/>
      <c r="O166" s="1631"/>
      <c r="P166" s="1631"/>
      <c r="AH166" s="1638">
        <v>0</v>
      </c>
    </row>
    <row s="1642" customFormat="1" customHeight="1" ht="18.75" hidden="1">
      <c r="A167" s="1787"/>
      <c r="B167" s="1787"/>
      <c r="C167" s="376" t="s">
        <v>1307</v>
      </c>
      <c r="D167" s="2469"/>
      <c r="E167" s="2211"/>
      <c r="F167" s="2390"/>
      <c r="G167" s="2434"/>
      <c r="H167" s="1507"/>
      <c r="I167" s="658" t="s">
        <v>1306</v>
      </c>
      <c r="J167" s="578"/>
      <c r="K167" s="1507"/>
      <c r="L167" s="221"/>
      <c r="M167" s="348"/>
      <c r="N167" s="341"/>
      <c r="O167" s="1631"/>
      <c r="P167" s="1631"/>
      <c r="AH167" s="1638">
        <v>0</v>
      </c>
    </row>
    <row s="1642" customFormat="1" customHeight="1" ht="0.75" hidden="1">
      <c r="A168" s="1787"/>
      <c r="B168" s="1787"/>
      <c r="C168" s="376" t="s">
        <v>1316</v>
      </c>
      <c r="D168" s="2469"/>
      <c r="E168" s="2211"/>
      <c r="F168" s="2390"/>
      <c r="G168" s="407"/>
      <c r="H168" s="1507"/>
      <c r="I168" s="658"/>
      <c r="J168" s="578"/>
      <c r="K168" s="1507"/>
      <c r="L168" s="221"/>
      <c r="M168" s="348"/>
      <c r="N168" s="341"/>
      <c r="O168" s="1631"/>
      <c r="P168" s="1631"/>
      <c r="AH168" s="1638">
        <v>0</v>
      </c>
    </row>
    <row s="1642" customFormat="1" customHeight="1" ht="18.75" hidden="1">
      <c r="A169" s="1787" t="s">
        <v>283</v>
      </c>
      <c r="B169" s="1787" t="s">
        <v>284</v>
      </c>
      <c r="C169" s="376"/>
      <c r="D169" s="2469"/>
      <c r="E169" s="2211"/>
      <c r="F169" s="2390" t="str">
        <f>INDEX(PT_DIFFERENTIATION_VTAR,MATCH(A169,PT_DIFFERENTIATION_VTAR_ID,0))</f>
        <v>Плата за подключение (технологическое присоединение) к системе теплоснабжения</v>
      </c>
      <c r="G169" s="2434" t="str">
        <f>INDEX(PT_DIFFERENTIATION_NTAR,MATCH(B169,PT_DIFFERENTIATION_NTAR_ID,0))</f>
        <v/>
      </c>
      <c r="H169" s="1869"/>
      <c r="I169" s="1746"/>
      <c r="J169" s="1780"/>
      <c r="K169" s="1785"/>
      <c r="L169" s="1869" t="s">
        <v>469</v>
      </c>
      <c r="M169" s="348"/>
      <c r="N169" s="341"/>
      <c r="O169" s="1631"/>
      <c r="P169" s="1631"/>
      <c r="AH169" s="1638">
        <v>0</v>
      </c>
    </row>
    <row s="1642" customFormat="1" customHeight="1" ht="18.75" hidden="1">
      <c r="A170" s="1787"/>
      <c r="B170" s="1787"/>
      <c r="C170" s="376" t="s">
        <v>1307</v>
      </c>
      <c r="D170" s="2469"/>
      <c r="E170" s="2211"/>
      <c r="F170" s="2390"/>
      <c r="G170" s="2434"/>
      <c r="H170" s="1507"/>
      <c r="I170" s="658" t="s">
        <v>1306</v>
      </c>
      <c r="J170" s="578"/>
      <c r="K170" s="1507"/>
      <c r="L170" s="221"/>
      <c r="M170" s="348"/>
      <c r="N170" s="341"/>
      <c r="O170" s="1631"/>
      <c r="P170" s="1631"/>
      <c r="AH170" s="1638">
        <v>0</v>
      </c>
    </row>
    <row s="1642" customFormat="1" customHeight="1" ht="0.75" hidden="1">
      <c r="A171" s="1787"/>
      <c r="B171" s="1787"/>
      <c r="C171" s="376" t="s">
        <v>1316</v>
      </c>
      <c r="D171" s="2469"/>
      <c r="E171" s="2211"/>
      <c r="F171" s="2390"/>
      <c r="G171" s="407"/>
      <c r="H171" s="1507"/>
      <c r="I171" s="658"/>
      <c r="J171" s="578"/>
      <c r="K171" s="1507"/>
      <c r="L171" s="221"/>
      <c r="M171" s="348"/>
      <c r="N171" s="341"/>
      <c r="O171" s="1631"/>
      <c r="P171" s="1631"/>
      <c r="AH171" s="1638">
        <v>0</v>
      </c>
    </row>
    <row s="1642" customFormat="1" customHeight="1" ht="18.75" hidden="1">
      <c r="A172" s="1787" t="s">
        <v>289</v>
      </c>
      <c r="B172" s="1787" t="s">
        <v>290</v>
      </c>
      <c r="C172" s="376"/>
      <c r="D172" s="2469"/>
      <c r="E172" s="2211"/>
      <c r="F172" s="2390" t="str">
        <f>INDEX(PT_DIFFERENTIATION_VTAR,MATCH(A172,PT_DIFFERENTIATION_VTAR_ID,0))</f>
        <v>Плата за подключение (технологическое присоединение) к системе теплоснабжения (индивидуальная)</v>
      </c>
      <c r="G172" s="2434" t="str">
        <f>INDEX(PT_DIFFERENTIATION_NTAR,MATCH(B172,PT_DIFFERENTIATION_NTAR_ID,0))</f>
        <v/>
      </c>
      <c r="H172" s="1996"/>
      <c r="I172" s="1746"/>
      <c r="J172" s="1780"/>
      <c r="K172" s="1785"/>
      <c r="L172" s="1996" t="s">
        <v>469</v>
      </c>
      <c r="M172" s="348"/>
      <c r="N172" s="341"/>
      <c r="O172" s="1631"/>
      <c r="P172" s="1631"/>
      <c r="AH172" s="1638">
        <v>0</v>
      </c>
    </row>
    <row s="1642" customFormat="1" customHeight="1" ht="18.75" hidden="1">
      <c r="A173" s="1787"/>
      <c r="B173" s="1787"/>
      <c r="C173" s="376" t="s">
        <v>1307</v>
      </c>
      <c r="D173" s="2469"/>
      <c r="E173" s="2211"/>
      <c r="F173" s="2390"/>
      <c r="G173" s="2434"/>
      <c r="H173" s="1507"/>
      <c r="I173" s="658" t="s">
        <v>1306</v>
      </c>
      <c r="J173" s="578"/>
      <c r="K173" s="1507"/>
      <c r="L173" s="221"/>
      <c r="M173" s="348"/>
      <c r="N173" s="341"/>
      <c r="O173" s="1631"/>
      <c r="P173" s="1631"/>
      <c r="AH173" s="1638">
        <v>0</v>
      </c>
    </row>
    <row s="1642" customFormat="1" customHeight="1" ht="0.75" hidden="1">
      <c r="A174" s="1787"/>
      <c r="B174" s="1787"/>
      <c r="C174" s="376" t="s">
        <v>1316</v>
      </c>
      <c r="D174" s="2469"/>
      <c r="E174" s="2211"/>
      <c r="F174" s="2390"/>
      <c r="G174" s="407"/>
      <c r="H174" s="1507"/>
      <c r="I174" s="658"/>
      <c r="J174" s="578"/>
      <c r="K174" s="1507"/>
      <c r="L174" s="221"/>
      <c r="M174" s="348"/>
      <c r="N174" s="341"/>
      <c r="O174" s="1631"/>
      <c r="P174" s="1631"/>
      <c r="AH174" s="1638">
        <v>0</v>
      </c>
    </row>
    <row s="1642" customFormat="1" customHeight="1" ht="18.75">
      <c r="A175" s="1787" t="s">
        <v>312</v>
      </c>
      <c r="B175" s="1787" t="s">
        <v>313</v>
      </c>
      <c r="C175" s="376"/>
      <c r="D175" s="2469"/>
      <c r="E175" s="2211"/>
      <c r="F175" s="2390" t="str">
        <f>INDEX(PT_DIFFERENTIATION_VTAR,MATCH(A175,PT_DIFFERENTIATION_VTAR_ID,0))</f>
        <v>Тариф на питьевую воду (питьевое водоснабжение)</v>
      </c>
      <c r="G175" s="2434" t="str">
        <f>INDEX(PT_DIFFERENTIATION_NTAR,MATCH(B175,PT_DIFFERENTIATION_NTAR_ID,0))</f>
        <v>Холодное водоснабжение. Питьевая вода</v>
      </c>
      <c r="H175" s="1869"/>
      <c r="I175" s="1746">
        <v>45658</v>
      </c>
      <c r="J175" s="1780">
        <v>46022</v>
      </c>
      <c r="K175" s="1785">
        <v>0</v>
      </c>
      <c r="L175" s="1869" t="s">
        <v>469</v>
      </c>
      <c r="M175" s="348"/>
      <c r="N175" s="341"/>
      <c r="O175" s="1631"/>
      <c r="P175" s="1631"/>
      <c r="AH175" s="1638">
        <v>0</v>
      </c>
    </row>
    <row s="1642" customFormat="1" customHeight="1" ht="18.75">
      <c r="A176" s="1787"/>
      <c r="B176" s="1787"/>
      <c r="C176" s="376" t="s">
        <v>1307</v>
      </c>
      <c r="D176" s="2469"/>
      <c r="E176" s="2211"/>
      <c r="F176" s="2390"/>
      <c r="G176" s="2434"/>
      <c r="H176" s="1507"/>
      <c r="I176" s="658" t="s">
        <v>1306</v>
      </c>
      <c r="J176" s="578"/>
      <c r="K176" s="1507"/>
      <c r="L176" s="221"/>
      <c r="M176" s="348"/>
      <c r="N176" s="341"/>
      <c r="O176" s="1631"/>
      <c r="P176" s="1631"/>
      <c r="AH176" s="1638">
        <v>0</v>
      </c>
    </row>
    <row s="1642" customFormat="1" customHeight="1" ht="0.75">
      <c r="A177" s="1787"/>
      <c r="B177" s="1787"/>
      <c r="C177" s="376" t="s">
        <v>1316</v>
      </c>
      <c r="D177" s="2469"/>
      <c r="E177" s="2211"/>
      <c r="F177" s="2390"/>
      <c r="G177" s="407"/>
      <c r="H177" s="1507"/>
      <c r="I177" s="658"/>
      <c r="J177" s="578"/>
      <c r="K177" s="1507"/>
      <c r="L177" s="221"/>
      <c r="M177" s="348"/>
      <c r="N177" s="341"/>
      <c r="O177" s="1631"/>
      <c r="P177" s="1631"/>
      <c r="AH177" s="1638">
        <v>0</v>
      </c>
    </row>
    <row s="1642" customFormat="1" customHeight="1" ht="18.75" hidden="1">
      <c r="A178" s="1787" t="s">
        <v>393</v>
      </c>
      <c r="B178" s="1787" t="s">
        <v>394</v>
      </c>
      <c r="C178" s="376"/>
      <c r="D178" s="2469"/>
      <c r="E178" s="2211"/>
      <c r="F178" s="2390" t="str">
        <f>INDEX(PT_DIFFERENTIATION_VTAR,MATCH(A178,PT_DIFFERENTIATION_VTAR_ID,0))</f>
        <v>Тариф на техническую воду</v>
      </c>
      <c r="G178" s="2434" t="str">
        <f>INDEX(PT_DIFFERENTIATION_NTAR,MATCH(B178,PT_DIFFERENTIATION_NTAR_ID,0))</f>
        <v/>
      </c>
      <c r="H178" s="1869"/>
      <c r="I178" s="1746"/>
      <c r="J178" s="1780"/>
      <c r="K178" s="1785"/>
      <c r="L178" s="1869" t="s">
        <v>469</v>
      </c>
      <c r="M178" s="348"/>
      <c r="N178" s="341"/>
      <c r="O178" s="1631"/>
      <c r="P178" s="1631"/>
      <c r="AH178" s="1638">
        <v>0</v>
      </c>
    </row>
    <row s="1642" customFormat="1" customHeight="1" ht="18.75" hidden="1">
      <c r="A179" s="1787"/>
      <c r="B179" s="1787"/>
      <c r="C179" s="376" t="s">
        <v>1307</v>
      </c>
      <c r="D179" s="2469"/>
      <c r="E179" s="2211"/>
      <c r="F179" s="2390"/>
      <c r="G179" s="2434"/>
      <c r="H179" s="1507"/>
      <c r="I179" s="658" t="s">
        <v>1306</v>
      </c>
      <c r="J179" s="578"/>
      <c r="K179" s="1507"/>
      <c r="L179" s="221"/>
      <c r="M179" s="348"/>
      <c r="N179" s="341"/>
      <c r="O179" s="1631"/>
      <c r="P179" s="1631"/>
      <c r="AH179" s="1638">
        <v>0</v>
      </c>
    </row>
    <row s="1642" customFormat="1" customHeight="1" ht="0.75" hidden="1">
      <c r="A180" s="1787"/>
      <c r="B180" s="1787"/>
      <c r="C180" s="376" t="s">
        <v>1316</v>
      </c>
      <c r="D180" s="2469"/>
      <c r="E180" s="2211"/>
      <c r="F180" s="2390"/>
      <c r="G180" s="407"/>
      <c r="H180" s="1507"/>
      <c r="I180" s="658"/>
      <c r="J180" s="578"/>
      <c r="K180" s="1507"/>
      <c r="L180" s="221"/>
      <c r="M180" s="348"/>
      <c r="N180" s="341"/>
      <c r="O180" s="1631"/>
      <c r="P180" s="1631"/>
      <c r="AH180" s="1638">
        <v>0</v>
      </c>
    </row>
    <row s="1642" customFormat="1" customHeight="1" ht="18.75" hidden="1">
      <c r="A181" s="1787" t="s">
        <v>398</v>
      </c>
      <c r="B181" s="1787" t="s">
        <v>399</v>
      </c>
      <c r="C181" s="376"/>
      <c r="D181" s="2469"/>
      <c r="E181" s="2211"/>
      <c r="F181" s="2390" t="str">
        <f>INDEX(PT_DIFFERENTIATION_VTAR,MATCH(A181,PT_DIFFERENTIATION_VTAR_ID,0))</f>
        <v>Тариф на транспортировку воды</v>
      </c>
      <c r="G181" s="2434" t="str">
        <f>INDEX(PT_DIFFERENTIATION_NTAR,MATCH(B181,PT_DIFFERENTIATION_NTAR_ID,0))</f>
        <v/>
      </c>
      <c r="H181" s="1869"/>
      <c r="I181" s="1746"/>
      <c r="J181" s="1780"/>
      <c r="K181" s="1785"/>
      <c r="L181" s="1869" t="s">
        <v>469</v>
      </c>
      <c r="M181" s="348"/>
      <c r="N181" s="341"/>
      <c r="O181" s="1631"/>
      <c r="P181" s="1631"/>
      <c r="AH181" s="1638">
        <v>0</v>
      </c>
    </row>
    <row s="1642" customFormat="1" customHeight="1" ht="18.75" hidden="1">
      <c r="A182" s="1787"/>
      <c r="B182" s="1787"/>
      <c r="C182" s="376" t="s">
        <v>1307</v>
      </c>
      <c r="D182" s="2469"/>
      <c r="E182" s="2211"/>
      <c r="F182" s="2390"/>
      <c r="G182" s="2434"/>
      <c r="H182" s="1507"/>
      <c r="I182" s="658" t="s">
        <v>1306</v>
      </c>
      <c r="J182" s="578"/>
      <c r="K182" s="1507"/>
      <c r="L182" s="221"/>
      <c r="M182" s="348"/>
      <c r="N182" s="341"/>
      <c r="O182" s="1631"/>
      <c r="P182" s="1631"/>
      <c r="AH182" s="1638">
        <v>0</v>
      </c>
    </row>
    <row s="1642" customFormat="1" customHeight="1" ht="0.75" hidden="1">
      <c r="A183" s="1787"/>
      <c r="B183" s="1787"/>
      <c r="C183" s="376" t="s">
        <v>1316</v>
      </c>
      <c r="D183" s="2469"/>
      <c r="E183" s="2211"/>
      <c r="F183" s="2390"/>
      <c r="G183" s="407"/>
      <c r="H183" s="1507"/>
      <c r="I183" s="658"/>
      <c r="J183" s="578"/>
      <c r="K183" s="1507"/>
      <c r="L183" s="221"/>
      <c r="M183" s="348"/>
      <c r="N183" s="341"/>
      <c r="O183" s="1631"/>
      <c r="P183" s="1631"/>
      <c r="AH183" s="1638">
        <v>0</v>
      </c>
    </row>
    <row s="1642" customFormat="1" customHeight="1" ht="18.75" hidden="1">
      <c r="A184" s="1787" t="s">
        <v>403</v>
      </c>
      <c r="B184" s="1787" t="s">
        <v>404</v>
      </c>
      <c r="C184" s="376"/>
      <c r="D184" s="2469"/>
      <c r="E184" s="2211"/>
      <c r="F184" s="2390" t="str">
        <f>INDEX(PT_DIFFERENTIATION_VTAR,MATCH(A184,PT_DIFFERENTIATION_VTAR_ID,0))</f>
        <v>Тариф на подвоз воды</v>
      </c>
      <c r="G184" s="2434" t="str">
        <f>INDEX(PT_DIFFERENTIATION_NTAR,MATCH(B184,PT_DIFFERENTIATION_NTAR_ID,0))</f>
        <v/>
      </c>
      <c r="H184" s="1869"/>
      <c r="I184" s="1746"/>
      <c r="J184" s="1780"/>
      <c r="K184" s="1785"/>
      <c r="L184" s="1869" t="s">
        <v>469</v>
      </c>
      <c r="M184" s="348"/>
      <c r="N184" s="341"/>
      <c r="O184" s="1631"/>
      <c r="P184" s="1631"/>
      <c r="AH184" s="1638">
        <v>0</v>
      </c>
    </row>
    <row s="1642" customFormat="1" customHeight="1" ht="18.75" hidden="1">
      <c r="A185" s="1787"/>
      <c r="B185" s="1787"/>
      <c r="C185" s="376" t="s">
        <v>1307</v>
      </c>
      <c r="D185" s="2469"/>
      <c r="E185" s="2211"/>
      <c r="F185" s="2390"/>
      <c r="G185" s="2434"/>
      <c r="H185" s="1507"/>
      <c r="I185" s="658" t="s">
        <v>1306</v>
      </c>
      <c r="J185" s="578"/>
      <c r="K185" s="1507"/>
      <c r="L185" s="221"/>
      <c r="M185" s="348"/>
      <c r="N185" s="341"/>
      <c r="O185" s="1631"/>
      <c r="P185" s="1631"/>
      <c r="AH185" s="1638">
        <v>0</v>
      </c>
    </row>
    <row s="1642" customFormat="1" customHeight="1" ht="0.75" hidden="1">
      <c r="A186" s="1787"/>
      <c r="B186" s="1787"/>
      <c r="C186" s="376" t="s">
        <v>1316</v>
      </c>
      <c r="D186" s="2469"/>
      <c r="E186" s="2211"/>
      <c r="F186" s="2390"/>
      <c r="G186" s="407"/>
      <c r="H186" s="1507"/>
      <c r="I186" s="658"/>
      <c r="J186" s="578"/>
      <c r="K186" s="1507"/>
      <c r="L186" s="221"/>
      <c r="M186" s="348"/>
      <c r="N186" s="341"/>
      <c r="O186" s="1631"/>
      <c r="P186" s="1631"/>
      <c r="AH186" s="1638">
        <v>0</v>
      </c>
    </row>
    <row s="1642" customFormat="1" customHeight="1" ht="18.75" hidden="1">
      <c r="A187" s="1787" t="s">
        <v>408</v>
      </c>
      <c r="B187" s="1787" t="s">
        <v>409</v>
      </c>
      <c r="C187" s="376"/>
      <c r="D187" s="2469"/>
      <c r="E187" s="2211"/>
      <c r="F187" s="2390"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34" t="str">
        <f>INDEX(PT_DIFFERENTIATION_NTAR,MATCH(B187,PT_DIFFERENTIATION_NTAR_ID,0))</f>
        <v/>
      </c>
      <c r="H187" s="1869"/>
      <c r="I187" s="1746"/>
      <c r="J187" s="1780"/>
      <c r="K187" s="1785"/>
      <c r="L187" s="1869" t="s">
        <v>469</v>
      </c>
      <c r="M187" s="348"/>
      <c r="N187" s="341"/>
      <c r="O187" s="1631"/>
      <c r="P187" s="1631"/>
      <c r="AH187" s="1638">
        <v>0</v>
      </c>
    </row>
    <row s="1642" customFormat="1" customHeight="1" ht="18.75" hidden="1">
      <c r="A188" s="1787"/>
      <c r="B188" s="1787"/>
      <c r="C188" s="376" t="s">
        <v>1307</v>
      </c>
      <c r="D188" s="2469"/>
      <c r="E188" s="2211"/>
      <c r="F188" s="2390"/>
      <c r="G188" s="2434"/>
      <c r="H188" s="1507"/>
      <c r="I188" s="658" t="s">
        <v>1306</v>
      </c>
      <c r="J188" s="578"/>
      <c r="K188" s="1507"/>
      <c r="L188" s="221"/>
      <c r="M188" s="348"/>
      <c r="N188" s="341"/>
      <c r="O188" s="1631"/>
      <c r="P188" s="1631"/>
      <c r="AH188" s="1638">
        <v>0</v>
      </c>
    </row>
    <row s="1642" customFormat="1" customHeight="1" ht="0.75" hidden="1">
      <c r="A189" s="1787"/>
      <c r="B189" s="1787"/>
      <c r="C189" s="376" t="s">
        <v>1316</v>
      </c>
      <c r="D189" s="2469"/>
      <c r="E189" s="2211"/>
      <c r="F189" s="2390"/>
      <c r="G189" s="407"/>
      <c r="H189" s="1507"/>
      <c r="I189" s="658"/>
      <c r="J189" s="578"/>
      <c r="K189" s="1507"/>
      <c r="L189" s="221"/>
      <c r="M189" s="348"/>
      <c r="N189" s="341"/>
      <c r="O189" s="1631"/>
      <c r="P189" s="1631"/>
      <c r="AH189" s="1638">
        <v>0</v>
      </c>
    </row>
    <row s="1642" customFormat="1" customHeight="1" ht="18.75" hidden="1">
      <c r="A190" s="1787" t="s">
        <v>413</v>
      </c>
      <c r="B190" s="1787" t="s">
        <v>414</v>
      </c>
      <c r="C190" s="376"/>
      <c r="D190" s="2469"/>
      <c r="E190" s="2211"/>
      <c r="F190" s="2390" t="str">
        <f>INDEX(PT_DIFFERENTIATION_VTAR,MATCH(A190,PT_DIFFERENTIATION_VTAR_ID,0))</f>
        <v>Тариф на горячую воду (горячее водоснабжение)</v>
      </c>
      <c r="G190" s="2434" t="str">
        <f>INDEX(PT_DIFFERENTIATION_NTAR,MATCH(B190,PT_DIFFERENTIATION_NTAR_ID,0))</f>
        <v/>
      </c>
      <c r="H190" s="1869"/>
      <c r="I190" s="1746"/>
      <c r="J190" s="1780"/>
      <c r="K190" s="1785"/>
      <c r="L190" s="1869" t="s">
        <v>469</v>
      </c>
      <c r="M190" s="348"/>
      <c r="N190" s="341"/>
      <c r="O190" s="1631"/>
      <c r="P190" s="1631"/>
      <c r="AH190" s="1638">
        <v>0</v>
      </c>
    </row>
    <row s="1642" customFormat="1" customHeight="1" ht="18.75" hidden="1">
      <c r="A191" s="1787"/>
      <c r="B191" s="1787"/>
      <c r="C191" s="376" t="s">
        <v>1307</v>
      </c>
      <c r="D191" s="2469"/>
      <c r="E191" s="2211"/>
      <c r="F191" s="2390"/>
      <c r="G191" s="2434"/>
      <c r="H191" s="1507"/>
      <c r="I191" s="658" t="s">
        <v>1306</v>
      </c>
      <c r="J191" s="578"/>
      <c r="K191" s="1507"/>
      <c r="L191" s="221"/>
      <c r="M191" s="348"/>
      <c r="N191" s="341"/>
      <c r="O191" s="1631"/>
      <c r="P191" s="1631"/>
      <c r="AH191" s="1638">
        <v>0</v>
      </c>
    </row>
    <row s="1642" customFormat="1" customHeight="1" ht="0.75" hidden="1">
      <c r="A192" s="1787"/>
      <c r="B192" s="1787"/>
      <c r="C192" s="376" t="s">
        <v>1316</v>
      </c>
      <c r="D192" s="2469"/>
      <c r="E192" s="2211"/>
      <c r="F192" s="2390"/>
      <c r="G192" s="407"/>
      <c r="H192" s="1507"/>
      <c r="I192" s="658"/>
      <c r="J192" s="578"/>
      <c r="K192" s="1507"/>
      <c r="L192" s="221"/>
      <c r="M192" s="348"/>
      <c r="N192" s="341"/>
      <c r="O192" s="1631"/>
      <c r="P192" s="1631"/>
      <c r="AH192" s="1638">
        <v>0</v>
      </c>
    </row>
    <row s="1642" customFormat="1" customHeight="1" ht="18.75" hidden="1">
      <c r="A193" s="1787" t="s">
        <v>418</v>
      </c>
      <c r="B193" s="1787" t="s">
        <v>419</v>
      </c>
      <c r="C193" s="376"/>
      <c r="D193" s="2469"/>
      <c r="E193" s="2211"/>
      <c r="F193" s="2390" t="str">
        <f>INDEX(PT_DIFFERENTIATION_VTAR,MATCH(A193,PT_DIFFERENTIATION_VTAR_ID,0))</f>
        <v>Тариф на транспортировку горячей воды</v>
      </c>
      <c r="G193" s="2434" t="str">
        <f>INDEX(PT_DIFFERENTIATION_NTAR,MATCH(B193,PT_DIFFERENTIATION_NTAR_ID,0))</f>
        <v/>
      </c>
      <c r="H193" s="1869"/>
      <c r="I193" s="1746"/>
      <c r="J193" s="1780"/>
      <c r="K193" s="1785"/>
      <c r="L193" s="1869" t="s">
        <v>469</v>
      </c>
      <c r="M193" s="348"/>
      <c r="N193" s="341"/>
      <c r="O193" s="1631"/>
      <c r="P193" s="1631"/>
      <c r="AH193" s="1638">
        <v>0</v>
      </c>
    </row>
    <row s="1642" customFormat="1" customHeight="1" ht="18.75" hidden="1">
      <c r="A194" s="1787"/>
      <c r="B194" s="1787"/>
      <c r="C194" s="376" t="s">
        <v>1307</v>
      </c>
      <c r="D194" s="2469"/>
      <c r="E194" s="2211"/>
      <c r="F194" s="2390"/>
      <c r="G194" s="2434"/>
      <c r="H194" s="1507"/>
      <c r="I194" s="658" t="s">
        <v>1306</v>
      </c>
      <c r="J194" s="578"/>
      <c r="K194" s="1507"/>
      <c r="L194" s="221"/>
      <c r="M194" s="348"/>
      <c r="N194" s="341"/>
      <c r="O194" s="1631"/>
      <c r="P194" s="1631"/>
      <c r="AH194" s="1638">
        <v>0</v>
      </c>
    </row>
    <row s="1642" customFormat="1" customHeight="1" ht="0.75" hidden="1">
      <c r="A195" s="1787"/>
      <c r="B195" s="1787"/>
      <c r="C195" s="376" t="s">
        <v>1316</v>
      </c>
      <c r="D195" s="2469"/>
      <c r="E195" s="2211"/>
      <c r="F195" s="2390"/>
      <c r="G195" s="407"/>
      <c r="H195" s="1507"/>
      <c r="I195" s="658"/>
      <c r="J195" s="578"/>
      <c r="K195" s="1507"/>
      <c r="L195" s="221"/>
      <c r="M195" s="348"/>
      <c r="N195" s="341"/>
      <c r="O195" s="1631"/>
      <c r="P195" s="1631"/>
      <c r="AH195" s="1638">
        <v>0</v>
      </c>
    </row>
    <row s="1642" customFormat="1" customHeight="1" ht="18.75" hidden="1">
      <c r="A196" s="1787" t="s">
        <v>423</v>
      </c>
      <c r="B196" s="1787" t="s">
        <v>424</v>
      </c>
      <c r="C196" s="376"/>
      <c r="D196" s="2469"/>
      <c r="E196" s="2211"/>
      <c r="F196" s="2390"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34" t="str">
        <f>INDEX(PT_DIFFERENTIATION_NTAR,MATCH(B196,PT_DIFFERENTIATION_NTAR_ID,0))</f>
        <v/>
      </c>
      <c r="H196" s="1869"/>
      <c r="I196" s="1746"/>
      <c r="J196" s="1780"/>
      <c r="K196" s="1785"/>
      <c r="L196" s="1869" t="s">
        <v>469</v>
      </c>
      <c r="M196" s="348"/>
      <c r="N196" s="341"/>
      <c r="O196" s="1631"/>
      <c r="P196" s="1631"/>
      <c r="AH196" s="1638">
        <v>0</v>
      </c>
    </row>
    <row s="1642" customFormat="1" customHeight="1" ht="18.75" hidden="1">
      <c r="A197" s="1787"/>
      <c r="B197" s="1787"/>
      <c r="C197" s="376" t="s">
        <v>1307</v>
      </c>
      <c r="D197" s="2469"/>
      <c r="E197" s="2211"/>
      <c r="F197" s="2390"/>
      <c r="G197" s="2434"/>
      <c r="H197" s="1507"/>
      <c r="I197" s="658" t="s">
        <v>1306</v>
      </c>
      <c r="J197" s="578"/>
      <c r="K197" s="1507"/>
      <c r="L197" s="221"/>
      <c r="M197" s="348"/>
      <c r="N197" s="341"/>
      <c r="O197" s="1631"/>
      <c r="P197" s="1631"/>
      <c r="AH197" s="1638">
        <v>0</v>
      </c>
    </row>
    <row s="1642" customFormat="1" customHeight="1" ht="0.75" hidden="1">
      <c r="A198" s="1787"/>
      <c r="B198" s="1787"/>
      <c r="C198" s="376" t="s">
        <v>1316</v>
      </c>
      <c r="D198" s="2469"/>
      <c r="E198" s="2211"/>
      <c r="F198" s="2390"/>
      <c r="G198" s="407"/>
      <c r="H198" s="1507"/>
      <c r="I198" s="658"/>
      <c r="J198" s="578"/>
      <c r="K198" s="1507"/>
      <c r="L198" s="221"/>
      <c r="M198" s="348"/>
      <c r="N198" s="341"/>
      <c r="O198" s="1631"/>
      <c r="P198" s="1631"/>
      <c r="AH198" s="1638">
        <v>0</v>
      </c>
    </row>
    <row s="1642" customFormat="1" customHeight="1" ht="18.75" hidden="1">
      <c r="A199" s="1787" t="s">
        <v>428</v>
      </c>
      <c r="B199" s="1787" t="s">
        <v>429</v>
      </c>
      <c r="C199" s="376"/>
      <c r="D199" s="2469"/>
      <c r="E199" s="2211"/>
      <c r="F199" s="2390" t="str">
        <f>INDEX(PT_DIFFERENTIATION_VTAR,MATCH(A199,PT_DIFFERENTIATION_VTAR_ID,0))</f>
        <v>Тариф на водоотведение</v>
      </c>
      <c r="G199" s="2434" t="str">
        <f>INDEX(PT_DIFFERENTIATION_NTAR,MATCH(B199,PT_DIFFERENTIATION_NTAR_ID,0))</f>
        <v/>
      </c>
      <c r="H199" s="1869"/>
      <c r="I199" s="1746"/>
      <c r="J199" s="1780"/>
      <c r="K199" s="1785"/>
      <c r="L199" s="1869" t="s">
        <v>469</v>
      </c>
      <c r="M199" s="348"/>
      <c r="N199" s="341"/>
      <c r="O199" s="1631"/>
      <c r="P199" s="1631"/>
      <c r="AH199" s="1638">
        <v>0</v>
      </c>
    </row>
    <row s="1642" customFormat="1" customHeight="1" ht="18.75" hidden="1">
      <c r="A200" s="1787"/>
      <c r="B200" s="1787"/>
      <c r="C200" s="376" t="s">
        <v>1307</v>
      </c>
      <c r="D200" s="2469"/>
      <c r="E200" s="2211"/>
      <c r="F200" s="2390"/>
      <c r="G200" s="2434"/>
      <c r="H200" s="1507"/>
      <c r="I200" s="658" t="s">
        <v>1306</v>
      </c>
      <c r="J200" s="578"/>
      <c r="K200" s="1507"/>
      <c r="L200" s="221"/>
      <c r="M200" s="348"/>
      <c r="N200" s="341"/>
      <c r="O200" s="1631"/>
      <c r="P200" s="1631"/>
      <c r="AH200" s="1638">
        <v>0</v>
      </c>
    </row>
    <row s="1642" customFormat="1" customHeight="1" ht="0.75" hidden="1">
      <c r="A201" s="1787"/>
      <c r="B201" s="1787"/>
      <c r="C201" s="376" t="s">
        <v>1316</v>
      </c>
      <c r="D201" s="2469"/>
      <c r="E201" s="2211"/>
      <c r="F201" s="2390"/>
      <c r="G201" s="407"/>
      <c r="H201" s="1507"/>
      <c r="I201" s="658"/>
      <c r="J201" s="578"/>
      <c r="K201" s="1507"/>
      <c r="L201" s="221"/>
      <c r="M201" s="348"/>
      <c r="N201" s="341"/>
      <c r="O201" s="1631"/>
      <c r="P201" s="1631"/>
      <c r="AH201" s="1638">
        <v>0</v>
      </c>
    </row>
    <row s="1642" customFormat="1" customHeight="1" ht="18.75" hidden="1">
      <c r="A202" s="1787" t="s">
        <v>433</v>
      </c>
      <c r="B202" s="1787" t="s">
        <v>434</v>
      </c>
      <c r="C202" s="376"/>
      <c r="D202" s="2469"/>
      <c r="E202" s="2211"/>
      <c r="F202" s="2390" t="str">
        <f>INDEX(PT_DIFFERENTIATION_VTAR,MATCH(A202,PT_DIFFERENTIATION_VTAR_ID,0))</f>
        <v>Тариф на транспортировку сточных вод</v>
      </c>
      <c r="G202" s="2434" t="str">
        <f>INDEX(PT_DIFFERENTIATION_NTAR,MATCH(B202,PT_DIFFERENTIATION_NTAR_ID,0))</f>
        <v/>
      </c>
      <c r="H202" s="1869"/>
      <c r="I202" s="1746"/>
      <c r="J202" s="1780"/>
      <c r="K202" s="1785"/>
      <c r="L202" s="1869" t="s">
        <v>469</v>
      </c>
      <c r="M202" s="348"/>
      <c r="N202" s="341"/>
      <c r="O202" s="1631"/>
      <c r="P202" s="1631"/>
      <c r="AH202" s="1638">
        <v>0</v>
      </c>
    </row>
    <row s="1642" customFormat="1" customHeight="1" ht="18.75" hidden="1">
      <c r="A203" s="1787"/>
      <c r="B203" s="1787"/>
      <c r="C203" s="376" t="s">
        <v>1307</v>
      </c>
      <c r="D203" s="2469"/>
      <c r="E203" s="2211"/>
      <c r="F203" s="2390"/>
      <c r="G203" s="2434"/>
      <c r="H203" s="1507"/>
      <c r="I203" s="658" t="s">
        <v>1306</v>
      </c>
      <c r="J203" s="578"/>
      <c r="K203" s="1507"/>
      <c r="L203" s="221"/>
      <c r="M203" s="348"/>
      <c r="N203" s="341"/>
      <c r="O203" s="1631"/>
      <c r="P203" s="1631"/>
      <c r="AH203" s="1638">
        <v>0</v>
      </c>
    </row>
    <row s="1642" customFormat="1" customHeight="1" ht="0.75" hidden="1">
      <c r="A204" s="1787"/>
      <c r="B204" s="1787"/>
      <c r="C204" s="376" t="s">
        <v>1316</v>
      </c>
      <c r="D204" s="2469"/>
      <c r="E204" s="2211"/>
      <c r="F204" s="2390"/>
      <c r="G204" s="407"/>
      <c r="H204" s="1507"/>
      <c r="I204" s="658"/>
      <c r="J204" s="578"/>
      <c r="K204" s="1507"/>
      <c r="L204" s="221"/>
      <c r="M204" s="348"/>
      <c r="N204" s="341"/>
      <c r="O204" s="1631"/>
      <c r="P204" s="1631"/>
      <c r="AH204" s="1638">
        <v>0</v>
      </c>
    </row>
    <row s="1642" customFormat="1" customHeight="1" ht="18.75" hidden="1">
      <c r="A205" s="1787" t="s">
        <v>438</v>
      </c>
      <c r="B205" s="1787" t="s">
        <v>439</v>
      </c>
      <c r="C205" s="376"/>
      <c r="D205" s="2469"/>
      <c r="E205" s="2211"/>
      <c r="F205" s="2390" t="str">
        <f>INDEX(PT_DIFFERENTIATION_VTAR,MATCH(A205,PT_DIFFERENTIATION_VTAR_ID,0))</f>
        <v>Тариф на подключение (технологическое присоединение) к централизованной системе водоотведения</v>
      </c>
      <c r="G205" s="2434" t="str">
        <f>INDEX(PT_DIFFERENTIATION_NTAR,MATCH(B205,PT_DIFFERENTIATION_NTAR_ID,0))</f>
        <v/>
      </c>
      <c r="H205" s="1869"/>
      <c r="I205" s="1746"/>
      <c r="J205" s="1780"/>
      <c r="K205" s="1785"/>
      <c r="L205" s="1869" t="s">
        <v>469</v>
      </c>
      <c r="M205" s="348"/>
      <c r="N205" s="341"/>
      <c r="O205" s="1631"/>
      <c r="P205" s="1631"/>
      <c r="AH205" s="1638">
        <v>0</v>
      </c>
    </row>
    <row s="1642" customFormat="1" customHeight="1" ht="18.75" hidden="1">
      <c r="A206" s="1787"/>
      <c r="B206" s="1787"/>
      <c r="C206" s="376" t="s">
        <v>1307</v>
      </c>
      <c r="D206" s="2469"/>
      <c r="E206" s="2211"/>
      <c r="F206" s="2390"/>
      <c r="G206" s="2434"/>
      <c r="H206" s="1507"/>
      <c r="I206" s="658" t="s">
        <v>1306</v>
      </c>
      <c r="J206" s="578"/>
      <c r="K206" s="1507"/>
      <c r="L206" s="221"/>
      <c r="M206" s="348"/>
      <c r="N206" s="341"/>
      <c r="O206" s="1631"/>
      <c r="P206" s="1631"/>
      <c r="AH206" s="1638">
        <v>0</v>
      </c>
    </row>
    <row s="1642" customFormat="1" customHeight="1" ht="1.05">
      <c r="A207" s="1787"/>
      <c r="B207" s="1787"/>
      <c r="C207" s="376" t="s">
        <v>1316</v>
      </c>
      <c r="D207" s="2469"/>
      <c r="E207" s="2211"/>
      <c r="F207" s="2390"/>
      <c r="G207" s="407"/>
      <c r="H207" s="1507"/>
      <c r="I207" s="658"/>
      <c r="J207" s="578"/>
      <c r="K207" s="1507"/>
      <c r="L207" s="221"/>
      <c r="M207" s="348"/>
      <c r="N207" s="341"/>
      <c r="O207" s="1631"/>
      <c r="P207" s="1631"/>
      <c r="AH207" s="1638">
        <v>1</v>
      </c>
    </row>
    <row customHeight="1" ht="27.299999999999997">
      <c r="A208" s="1787"/>
      <c r="B208" s="1787"/>
      <c r="D208" s="383"/>
      <c r="E208" s="154" t="s">
        <v>119</v>
      </c>
      <c r="F208" s="2467"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7"/>
      <c r="H208" s="2467"/>
      <c r="I208" s="2467"/>
      <c r="J208" s="2467"/>
      <c r="K208" s="2467"/>
      <c r="L208" s="2467"/>
      <c r="M208" s="304"/>
      <c r="N208" s="341"/>
      <c r="AH208" s="381">
        <v>26</v>
      </c>
    </row>
    <row s="1642" customFormat="1" customHeight="1" ht="60.75" hidden="1">
      <c r="A209" s="1787" t="s">
        <v>241</v>
      </c>
      <c r="B209" s="1787" t="s">
        <v>242</v>
      </c>
      <c r="C209" s="376"/>
      <c r="D209" s="2469"/>
      <c r="E209" s="2211"/>
      <c r="F209" s="2390"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34" t="str">
        <f>INDEX(PT_DIFFERENTIATION_NTAR,MATCH(B209,PT_DIFFERENTIATION_NTAR_ID,0))</f>
        <v/>
      </c>
      <c r="H209" s="1869"/>
      <c r="I209" s="1746"/>
      <c r="J209" s="1780"/>
      <c r="K209" s="1785"/>
      <c r="L209" s="1869" t="s">
        <v>469</v>
      </c>
      <c r="M209" s="217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41"/>
      <c r="O209" s="1631"/>
      <c r="P209" s="1631"/>
      <c r="AH209" s="1638">
        <v>0</v>
      </c>
    </row>
    <row s="1642" customFormat="1" customHeight="1" ht="18.75" hidden="1">
      <c r="A210" s="1787"/>
      <c r="B210" s="1787"/>
      <c r="C210" s="376" t="s">
        <v>1307</v>
      </c>
      <c r="D210" s="2469"/>
      <c r="E210" s="2211"/>
      <c r="F210" s="2390"/>
      <c r="G210" s="2434"/>
      <c r="H210" s="1507"/>
      <c r="I210" s="658" t="s">
        <v>1306</v>
      </c>
      <c r="J210" s="578"/>
      <c r="K210" s="1507"/>
      <c r="L210" s="221"/>
      <c r="M210" s="2177"/>
      <c r="N210" s="341"/>
      <c r="O210" s="1631"/>
      <c r="P210" s="1631"/>
      <c r="AH210" s="1638">
        <v>0</v>
      </c>
    </row>
    <row s="1642" customFormat="1" customHeight="1" ht="0.75" hidden="1">
      <c r="A211" s="1787"/>
      <c r="B211" s="1787"/>
      <c r="C211" s="376" t="s">
        <v>1316</v>
      </c>
      <c r="D211" s="2469"/>
      <c r="E211" s="2211"/>
      <c r="F211" s="2390"/>
      <c r="G211" s="407"/>
      <c r="H211" s="1507"/>
      <c r="I211" s="658"/>
      <c r="J211" s="578"/>
      <c r="K211" s="1507"/>
      <c r="L211" s="221"/>
      <c r="M211" s="2177"/>
      <c r="N211" s="341"/>
      <c r="O211" s="1631"/>
      <c r="P211" s="1631"/>
      <c r="AH211" s="1638">
        <v>0</v>
      </c>
    </row>
    <row s="1642" customFormat="1" customHeight="1" ht="45" hidden="1">
      <c r="A212" s="1787" t="s">
        <v>246</v>
      </c>
      <c r="B212" s="1787" t="s">
        <v>247</v>
      </c>
      <c r="C212" s="376"/>
      <c r="D212" s="2469"/>
      <c r="E212" s="2211"/>
      <c r="F212" s="2390" t="str">
        <f>INDEX(PT_DIFFERENTIATION_VTAR,MATCH(A212,PT_DIFFERENTIATION_VTAR_ID,0))</f>
        <v/>
      </c>
      <c r="G212" s="2434" t="str">
        <f>INDEX(PT_DIFFERENTIATION_NTAR,MATCH(B212,PT_DIFFERENTIATION_NTAR_ID,0))</f>
        <v/>
      </c>
      <c r="H212" s="1869"/>
      <c r="I212" s="1746"/>
      <c r="J212" s="1780"/>
      <c r="K212" s="1785"/>
      <c r="L212" s="1869" t="s">
        <v>469</v>
      </c>
      <c r="M212" s="2178"/>
      <c r="N212" s="341"/>
      <c r="O212" s="1631"/>
      <c r="P212" s="1631"/>
      <c r="AH212" s="1638">
        <v>0</v>
      </c>
    </row>
    <row s="1642" customFormat="1" customHeight="1" ht="18.75" hidden="1">
      <c r="A213" s="1787"/>
      <c r="B213" s="1787"/>
      <c r="C213" s="376" t="s">
        <v>1307</v>
      </c>
      <c r="D213" s="2469"/>
      <c r="E213" s="2211"/>
      <c r="F213" s="2390"/>
      <c r="G213" s="2434"/>
      <c r="H213" s="1507"/>
      <c r="I213" s="658" t="s">
        <v>1306</v>
      </c>
      <c r="J213" s="578"/>
      <c r="K213" s="1507"/>
      <c r="L213" s="221"/>
      <c r="M213" s="1868"/>
      <c r="N213" s="341"/>
      <c r="O213" s="1631"/>
      <c r="P213" s="1631"/>
      <c r="AH213" s="1638">
        <v>0</v>
      </c>
    </row>
    <row s="1642" customFormat="1" customHeight="1" ht="0.75" hidden="1">
      <c r="A214" s="1787"/>
      <c r="B214" s="1787"/>
      <c r="C214" s="376" t="s">
        <v>1316</v>
      </c>
      <c r="D214" s="2469"/>
      <c r="E214" s="2211"/>
      <c r="F214" s="2390"/>
      <c r="G214" s="407"/>
      <c r="H214" s="1507"/>
      <c r="I214" s="658"/>
      <c r="J214" s="578"/>
      <c r="K214" s="1507"/>
      <c r="L214" s="221"/>
      <c r="M214" s="348"/>
      <c r="N214" s="341"/>
      <c r="O214" s="1631"/>
      <c r="P214" s="1631"/>
      <c r="AH214" s="1638">
        <v>0</v>
      </c>
    </row>
    <row s="1642" customFormat="1" customHeight="1" ht="45" hidden="1">
      <c r="A215" s="1787" t="s">
        <v>253</v>
      </c>
      <c r="B215" s="1787" t="s">
        <v>254</v>
      </c>
      <c r="C215" s="376"/>
      <c r="D215" s="2469"/>
      <c r="E215" s="2211"/>
      <c r="F215" s="2390"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34" t="str">
        <f>INDEX(PT_DIFFERENTIATION_NTAR,MATCH(B215,PT_DIFFERENTIATION_NTAR_ID,0))</f>
        <v/>
      </c>
      <c r="H215" s="1869"/>
      <c r="I215" s="1746"/>
      <c r="J215" s="1780"/>
      <c r="K215" s="1785"/>
      <c r="L215" s="1869" t="s">
        <v>469</v>
      </c>
      <c r="M215" s="348"/>
      <c r="N215" s="341"/>
      <c r="O215" s="1631"/>
      <c r="P215" s="1631"/>
      <c r="AH215" s="1638">
        <v>0</v>
      </c>
    </row>
    <row s="1642" customFormat="1" customHeight="1" ht="18.75" hidden="1">
      <c r="A216" s="1787"/>
      <c r="B216" s="1787"/>
      <c r="C216" s="376" t="s">
        <v>1307</v>
      </c>
      <c r="D216" s="2469"/>
      <c r="E216" s="2211"/>
      <c r="F216" s="2390"/>
      <c r="G216" s="2434"/>
      <c r="H216" s="1507"/>
      <c r="I216" s="658" t="s">
        <v>1306</v>
      </c>
      <c r="J216" s="578"/>
      <c r="K216" s="1507"/>
      <c r="L216" s="221"/>
      <c r="M216" s="348"/>
      <c r="N216" s="341"/>
      <c r="O216" s="1631"/>
      <c r="P216" s="1631"/>
      <c r="AH216" s="1638">
        <v>0</v>
      </c>
    </row>
    <row s="1642" customFormat="1" customHeight="1" ht="0.75" hidden="1">
      <c r="A217" s="1787"/>
      <c r="B217" s="1787"/>
      <c r="C217" s="376" t="s">
        <v>1316</v>
      </c>
      <c r="D217" s="2469"/>
      <c r="E217" s="2211"/>
      <c r="F217" s="2390"/>
      <c r="G217" s="407"/>
      <c r="H217" s="1507"/>
      <c r="I217" s="658"/>
      <c r="J217" s="578"/>
      <c r="K217" s="1507"/>
      <c r="L217" s="221"/>
      <c r="M217" s="348"/>
      <c r="N217" s="341"/>
      <c r="O217" s="1631"/>
      <c r="P217" s="1631"/>
      <c r="AH217" s="1638">
        <v>0</v>
      </c>
    </row>
    <row s="1642" customFormat="1" customHeight="1" ht="45" hidden="1">
      <c r="A218" s="1787" t="s">
        <v>259</v>
      </c>
      <c r="B218" s="1787" t="s">
        <v>260</v>
      </c>
      <c r="C218" s="376"/>
      <c r="D218" s="2469"/>
      <c r="E218" s="2211"/>
      <c r="F218" s="2390"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34" t="str">
        <f>INDEX(PT_DIFFERENTIATION_NTAR,MATCH(B218,PT_DIFFERENTIATION_NTAR_ID,0))</f>
        <v/>
      </c>
      <c r="H218" s="1869"/>
      <c r="I218" s="1746"/>
      <c r="J218" s="1780"/>
      <c r="K218" s="1785"/>
      <c r="L218" s="1869" t="s">
        <v>469</v>
      </c>
      <c r="M218" s="348"/>
      <c r="N218" s="341"/>
      <c r="O218" s="1631"/>
      <c r="P218" s="1631"/>
      <c r="AH218" s="1638">
        <v>0</v>
      </c>
    </row>
    <row s="1642" customFormat="1" customHeight="1" ht="18.75" hidden="1">
      <c r="A219" s="1787"/>
      <c r="B219" s="1787"/>
      <c r="C219" s="376" t="s">
        <v>1307</v>
      </c>
      <c r="D219" s="2469"/>
      <c r="E219" s="2211"/>
      <c r="F219" s="2390"/>
      <c r="G219" s="2434"/>
      <c r="H219" s="1507"/>
      <c r="I219" s="658" t="s">
        <v>1306</v>
      </c>
      <c r="J219" s="578"/>
      <c r="K219" s="1507"/>
      <c r="L219" s="221"/>
      <c r="M219" s="348"/>
      <c r="N219" s="341"/>
      <c r="O219" s="1631"/>
      <c r="P219" s="1631"/>
      <c r="AH219" s="1638">
        <v>0</v>
      </c>
    </row>
    <row s="1642" customFormat="1" customHeight="1" ht="0.75" hidden="1">
      <c r="A220" s="1787"/>
      <c r="B220" s="1787"/>
      <c r="C220" s="376" t="s">
        <v>1316</v>
      </c>
      <c r="D220" s="2469"/>
      <c r="E220" s="2211"/>
      <c r="F220" s="2390"/>
      <c r="G220" s="407"/>
      <c r="H220" s="1507"/>
      <c r="I220" s="658"/>
      <c r="J220" s="578"/>
      <c r="K220" s="1507"/>
      <c r="L220" s="221"/>
      <c r="M220" s="348"/>
      <c r="N220" s="341"/>
      <c r="O220" s="1631"/>
      <c r="P220" s="1631"/>
      <c r="AH220" s="1638">
        <v>0</v>
      </c>
    </row>
    <row s="1642" customFormat="1" customHeight="1" ht="18.75" hidden="1">
      <c r="A221" s="1787" t="s">
        <v>265</v>
      </c>
      <c r="B221" s="1787" t="s">
        <v>266</v>
      </c>
      <c r="C221" s="376"/>
      <c r="D221" s="2469"/>
      <c r="E221" s="2211"/>
      <c r="F221" s="2390" t="str">
        <f>INDEX(PT_DIFFERENTIATION_VTAR,MATCH(A221,PT_DIFFERENTIATION_VTAR_ID,0))</f>
        <v>Тарифы на услуги по передаче тепловой энергии</v>
      </c>
      <c r="G221" s="2434" t="str">
        <f>INDEX(PT_DIFFERENTIATION_NTAR,MATCH(B221,PT_DIFFERENTIATION_NTAR_ID,0))</f>
        <v/>
      </c>
      <c r="H221" s="1869"/>
      <c r="I221" s="1746"/>
      <c r="J221" s="1780"/>
      <c r="K221" s="1785"/>
      <c r="L221" s="1869" t="s">
        <v>469</v>
      </c>
      <c r="M221" s="348"/>
      <c r="N221" s="341"/>
      <c r="O221" s="1631"/>
      <c r="P221" s="1631"/>
      <c r="AH221" s="1638">
        <v>0</v>
      </c>
    </row>
    <row s="1642" customFormat="1" customHeight="1" ht="18.75" hidden="1">
      <c r="A222" s="1787"/>
      <c r="B222" s="1787"/>
      <c r="C222" s="376" t="s">
        <v>1307</v>
      </c>
      <c r="D222" s="2469"/>
      <c r="E222" s="2211"/>
      <c r="F222" s="2390"/>
      <c r="G222" s="2434"/>
      <c r="H222" s="1507"/>
      <c r="I222" s="658" t="s">
        <v>1306</v>
      </c>
      <c r="J222" s="578"/>
      <c r="K222" s="1507"/>
      <c r="L222" s="221"/>
      <c r="M222" s="348"/>
      <c r="N222" s="341"/>
      <c r="O222" s="1631"/>
      <c r="P222" s="1631"/>
      <c r="AH222" s="1638">
        <v>0</v>
      </c>
    </row>
    <row s="1642" customFormat="1" customHeight="1" ht="0.75" hidden="1">
      <c r="A223" s="1787"/>
      <c r="B223" s="1787"/>
      <c r="C223" s="376" t="s">
        <v>1316</v>
      </c>
      <c r="D223" s="2469"/>
      <c r="E223" s="2211"/>
      <c r="F223" s="2390"/>
      <c r="G223" s="407"/>
      <c r="H223" s="1507"/>
      <c r="I223" s="658"/>
      <c r="J223" s="578"/>
      <c r="K223" s="1507"/>
      <c r="L223" s="221"/>
      <c r="M223" s="348"/>
      <c r="N223" s="341"/>
      <c r="O223" s="1631"/>
      <c r="P223" s="1631"/>
      <c r="AH223" s="1638">
        <v>0</v>
      </c>
    </row>
    <row s="1642" customFormat="1" customHeight="1" ht="18.75" hidden="1">
      <c r="A224" s="1787" t="s">
        <v>271</v>
      </c>
      <c r="B224" s="1787" t="s">
        <v>272</v>
      </c>
      <c r="C224" s="376"/>
      <c r="D224" s="2469"/>
      <c r="E224" s="2211"/>
      <c r="F224" s="2390" t="str">
        <f>INDEX(PT_DIFFERENTIATION_VTAR,MATCH(A224,PT_DIFFERENTIATION_VTAR_ID,0))</f>
        <v>Тарифы на услуги по передаче теплоносителя</v>
      </c>
      <c r="G224" s="2434" t="str">
        <f>INDEX(PT_DIFFERENTIATION_NTAR,MATCH(B224,PT_DIFFERENTIATION_NTAR_ID,0))</f>
        <v/>
      </c>
      <c r="H224" s="1869"/>
      <c r="I224" s="1746"/>
      <c r="J224" s="1780"/>
      <c r="K224" s="1785"/>
      <c r="L224" s="1869" t="s">
        <v>469</v>
      </c>
      <c r="M224" s="348"/>
      <c r="N224" s="341"/>
      <c r="O224" s="1631"/>
      <c r="P224" s="1631"/>
      <c r="AH224" s="1638">
        <v>0</v>
      </c>
    </row>
    <row s="1642" customFormat="1" customHeight="1" ht="18.75" hidden="1">
      <c r="A225" s="1787"/>
      <c r="B225" s="1787"/>
      <c r="C225" s="376" t="s">
        <v>1307</v>
      </c>
      <c r="D225" s="2469"/>
      <c r="E225" s="2211"/>
      <c r="F225" s="2390"/>
      <c r="G225" s="2434"/>
      <c r="H225" s="1507"/>
      <c r="I225" s="658" t="s">
        <v>1306</v>
      </c>
      <c r="J225" s="578"/>
      <c r="K225" s="1507"/>
      <c r="L225" s="221"/>
      <c r="M225" s="348"/>
      <c r="N225" s="341"/>
      <c r="O225" s="1631"/>
      <c r="P225" s="1631"/>
      <c r="AH225" s="1638">
        <v>0</v>
      </c>
    </row>
    <row s="1642" customFormat="1" customHeight="1" ht="0.75" hidden="1">
      <c r="A226" s="1787"/>
      <c r="B226" s="1787"/>
      <c r="C226" s="376" t="s">
        <v>1316</v>
      </c>
      <c r="D226" s="2469"/>
      <c r="E226" s="2211"/>
      <c r="F226" s="2390"/>
      <c r="G226" s="407"/>
      <c r="H226" s="1507"/>
      <c r="I226" s="658"/>
      <c r="J226" s="578"/>
      <c r="K226" s="1507"/>
      <c r="L226" s="221"/>
      <c r="M226" s="348"/>
      <c r="N226" s="341"/>
      <c r="O226" s="1631"/>
      <c r="P226" s="1631"/>
      <c r="AH226" s="1638">
        <v>0</v>
      </c>
    </row>
    <row s="1642" customFormat="1" customHeight="1" ht="18.75" hidden="1">
      <c r="A227" s="1787" t="s">
        <v>277</v>
      </c>
      <c r="B227" s="1787" t="s">
        <v>278</v>
      </c>
      <c r="C227" s="376"/>
      <c r="D227" s="2469"/>
      <c r="E227" s="2211"/>
      <c r="F227" s="2390"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34" t="str">
        <f>INDEX(PT_DIFFERENTIATION_NTAR,MATCH(B227,PT_DIFFERENTIATION_NTAR_ID,0))</f>
        <v/>
      </c>
      <c r="H227" s="1869"/>
      <c r="I227" s="1746"/>
      <c r="J227" s="1780"/>
      <c r="K227" s="1785"/>
      <c r="L227" s="1869" t="s">
        <v>469</v>
      </c>
      <c r="M227" s="348"/>
      <c r="N227" s="341"/>
      <c r="O227" s="1631"/>
      <c r="P227" s="1631"/>
      <c r="AH227" s="1638">
        <v>0</v>
      </c>
    </row>
    <row s="1642" customFormat="1" customHeight="1" ht="18.75" hidden="1">
      <c r="A228" s="1787"/>
      <c r="B228" s="1787"/>
      <c r="C228" s="376" t="s">
        <v>1307</v>
      </c>
      <c r="D228" s="2469"/>
      <c r="E228" s="2211"/>
      <c r="F228" s="2390"/>
      <c r="G228" s="2434"/>
      <c r="H228" s="1507"/>
      <c r="I228" s="658" t="s">
        <v>1306</v>
      </c>
      <c r="J228" s="578"/>
      <c r="K228" s="1507"/>
      <c r="L228" s="221"/>
      <c r="M228" s="348"/>
      <c r="N228" s="341"/>
      <c r="O228" s="1631"/>
      <c r="P228" s="1631"/>
      <c r="AH228" s="1638">
        <v>0</v>
      </c>
    </row>
    <row s="1642" customFormat="1" customHeight="1" ht="0.75" hidden="1">
      <c r="A229" s="1787"/>
      <c r="B229" s="1787"/>
      <c r="C229" s="376" t="s">
        <v>1316</v>
      </c>
      <c r="D229" s="2469"/>
      <c r="E229" s="2211"/>
      <c r="F229" s="2390"/>
      <c r="G229" s="407"/>
      <c r="H229" s="1507"/>
      <c r="I229" s="658"/>
      <c r="J229" s="578"/>
      <c r="K229" s="1507"/>
      <c r="L229" s="221"/>
      <c r="M229" s="348"/>
      <c r="N229" s="341"/>
      <c r="O229" s="1631"/>
      <c r="P229" s="1631"/>
      <c r="AH229" s="1638">
        <v>0</v>
      </c>
    </row>
    <row s="1642" customFormat="1" customHeight="1" ht="18.75" hidden="1">
      <c r="A230" s="1787" t="s">
        <v>283</v>
      </c>
      <c r="B230" s="1787" t="s">
        <v>284</v>
      </c>
      <c r="C230" s="376"/>
      <c r="D230" s="2469"/>
      <c r="E230" s="2211"/>
      <c r="F230" s="2390" t="str">
        <f>INDEX(PT_DIFFERENTIATION_VTAR,MATCH(A230,PT_DIFFERENTIATION_VTAR_ID,0))</f>
        <v>Плата за подключение (технологическое присоединение) к системе теплоснабжения</v>
      </c>
      <c r="G230" s="2434" t="str">
        <f>INDEX(PT_DIFFERENTIATION_NTAR,MATCH(B230,PT_DIFFERENTIATION_NTAR_ID,0))</f>
        <v/>
      </c>
      <c r="H230" s="1869"/>
      <c r="I230" s="1746"/>
      <c r="J230" s="1780"/>
      <c r="K230" s="1785"/>
      <c r="L230" s="1869" t="s">
        <v>469</v>
      </c>
      <c r="M230" s="348"/>
      <c r="N230" s="341"/>
      <c r="O230" s="1631"/>
      <c r="P230" s="1631"/>
      <c r="AH230" s="1638">
        <v>0</v>
      </c>
    </row>
    <row s="1642" customFormat="1" customHeight="1" ht="18.75" hidden="1">
      <c r="A231" s="1787"/>
      <c r="B231" s="1787"/>
      <c r="C231" s="376" t="s">
        <v>1307</v>
      </c>
      <c r="D231" s="2469"/>
      <c r="E231" s="2211"/>
      <c r="F231" s="2390"/>
      <c r="G231" s="2434"/>
      <c r="H231" s="1507"/>
      <c r="I231" s="658" t="s">
        <v>1306</v>
      </c>
      <c r="J231" s="578"/>
      <c r="K231" s="1507"/>
      <c r="L231" s="221"/>
      <c r="M231" s="348"/>
      <c r="N231" s="341"/>
      <c r="O231" s="1631"/>
      <c r="P231" s="1631"/>
      <c r="AH231" s="1638">
        <v>0</v>
      </c>
    </row>
    <row s="1642" customFormat="1" customHeight="1" ht="0.75" hidden="1">
      <c r="A232" s="1787"/>
      <c r="B232" s="1787"/>
      <c r="C232" s="376" t="s">
        <v>1316</v>
      </c>
      <c r="D232" s="2469"/>
      <c r="E232" s="2211"/>
      <c r="F232" s="2390"/>
      <c r="G232" s="407"/>
      <c r="H232" s="1507"/>
      <c r="I232" s="658"/>
      <c r="J232" s="578"/>
      <c r="K232" s="1507"/>
      <c r="L232" s="221"/>
      <c r="M232" s="348"/>
      <c r="N232" s="341"/>
      <c r="O232" s="1631"/>
      <c r="P232" s="1631"/>
      <c r="AH232" s="1638">
        <v>0</v>
      </c>
    </row>
    <row s="1642" customFormat="1" customHeight="1" ht="18.75" hidden="1">
      <c r="A233" s="1787" t="s">
        <v>289</v>
      </c>
      <c r="B233" s="1787" t="s">
        <v>290</v>
      </c>
      <c r="C233" s="376"/>
      <c r="D233" s="2469"/>
      <c r="E233" s="2211"/>
      <c r="F233" s="2390" t="str">
        <f>INDEX(PT_DIFFERENTIATION_VTAR,MATCH(A233,PT_DIFFERENTIATION_VTAR_ID,0))</f>
        <v>Плата за подключение (технологическое присоединение) к системе теплоснабжения (индивидуальная)</v>
      </c>
      <c r="G233" s="2434" t="str">
        <f>INDEX(PT_DIFFERENTIATION_NTAR,MATCH(B233,PT_DIFFERENTIATION_NTAR_ID,0))</f>
        <v/>
      </c>
      <c r="H233" s="1996"/>
      <c r="I233" s="1746"/>
      <c r="J233" s="1780"/>
      <c r="K233" s="1785"/>
      <c r="L233" s="1996" t="s">
        <v>469</v>
      </c>
      <c r="M233" s="348"/>
      <c r="N233" s="341"/>
      <c r="O233" s="1631"/>
      <c r="P233" s="1631"/>
      <c r="AH233" s="1638">
        <v>0</v>
      </c>
    </row>
    <row s="1642" customFormat="1" customHeight="1" ht="18.75" hidden="1">
      <c r="A234" s="1787"/>
      <c r="B234" s="1787"/>
      <c r="C234" s="376" t="s">
        <v>1307</v>
      </c>
      <c r="D234" s="2469"/>
      <c r="E234" s="2211"/>
      <c r="F234" s="2390"/>
      <c r="G234" s="2434"/>
      <c r="H234" s="1507"/>
      <c r="I234" s="658" t="s">
        <v>1306</v>
      </c>
      <c r="J234" s="578"/>
      <c r="K234" s="1507"/>
      <c r="L234" s="221"/>
      <c r="M234" s="348"/>
      <c r="N234" s="341"/>
      <c r="O234" s="1631"/>
      <c r="P234" s="1631"/>
      <c r="AH234" s="1638">
        <v>0</v>
      </c>
    </row>
    <row s="1642" customFormat="1" customHeight="1" ht="0.75" hidden="1">
      <c r="A235" s="1787"/>
      <c r="B235" s="1787"/>
      <c r="C235" s="376" t="s">
        <v>1316</v>
      </c>
      <c r="D235" s="2469"/>
      <c r="E235" s="2211"/>
      <c r="F235" s="2390"/>
      <c r="G235" s="407"/>
      <c r="H235" s="1507"/>
      <c r="I235" s="658"/>
      <c r="J235" s="578"/>
      <c r="K235" s="1507"/>
      <c r="L235" s="221"/>
      <c r="M235" s="348"/>
      <c r="N235" s="341"/>
      <c r="O235" s="1631"/>
      <c r="P235" s="1631"/>
      <c r="AH235" s="1638">
        <v>0</v>
      </c>
    </row>
    <row s="1642" customFormat="1" customHeight="1" ht="18.75">
      <c r="A236" s="1787" t="s">
        <v>312</v>
      </c>
      <c r="B236" s="1787" t="s">
        <v>313</v>
      </c>
      <c r="C236" s="376"/>
      <c r="D236" s="2469"/>
      <c r="E236" s="2211"/>
      <c r="F236" s="2390" t="str">
        <f>INDEX(PT_DIFFERENTIATION_VTAR,MATCH(A236,PT_DIFFERENTIATION_VTAR_ID,0))</f>
        <v>Тариф на питьевую воду (питьевое водоснабжение)</v>
      </c>
      <c r="G236" s="2434" t="str">
        <f>INDEX(PT_DIFFERENTIATION_NTAR,MATCH(B236,PT_DIFFERENTIATION_NTAR_ID,0))</f>
        <v>Холодное водоснабжение. Питьевая вода</v>
      </c>
      <c r="H236" s="1869"/>
      <c r="I236" s="1746">
        <v>45658</v>
      </c>
      <c r="J236" s="1780">
        <v>46022</v>
      </c>
      <c r="K236" s="1785">
        <v>0</v>
      </c>
      <c r="L236" s="1869" t="s">
        <v>469</v>
      </c>
      <c r="M236" s="348"/>
      <c r="N236" s="341"/>
      <c r="O236" s="1631"/>
      <c r="P236" s="1631"/>
      <c r="AH236" s="1638">
        <v>0</v>
      </c>
    </row>
    <row s="1642" customFormat="1" customHeight="1" ht="18.75">
      <c r="A237" s="1787"/>
      <c r="B237" s="1787"/>
      <c r="C237" s="376" t="s">
        <v>1307</v>
      </c>
      <c r="D237" s="2469"/>
      <c r="E237" s="2211"/>
      <c r="F237" s="2390"/>
      <c r="G237" s="2434"/>
      <c r="H237" s="1507"/>
      <c r="I237" s="658" t="s">
        <v>1306</v>
      </c>
      <c r="J237" s="578"/>
      <c r="K237" s="1507"/>
      <c r="L237" s="221"/>
      <c r="M237" s="348"/>
      <c r="N237" s="341"/>
      <c r="O237" s="1631"/>
      <c r="P237" s="1631"/>
      <c r="AH237" s="1638">
        <v>0</v>
      </c>
    </row>
    <row s="1642" customFormat="1" customHeight="1" ht="0.75">
      <c r="A238" s="1787"/>
      <c r="B238" s="1787"/>
      <c r="C238" s="376" t="s">
        <v>1316</v>
      </c>
      <c r="D238" s="2469"/>
      <c r="E238" s="2211"/>
      <c r="F238" s="2390"/>
      <c r="G238" s="407"/>
      <c r="H238" s="1507"/>
      <c r="I238" s="658"/>
      <c r="J238" s="578"/>
      <c r="K238" s="1507"/>
      <c r="L238" s="221"/>
      <c r="M238" s="348"/>
      <c r="N238" s="341"/>
      <c r="O238" s="1631"/>
      <c r="P238" s="1631"/>
      <c r="AH238" s="1638">
        <v>0</v>
      </c>
    </row>
    <row s="1642" customFormat="1" customHeight="1" ht="18.75" hidden="1">
      <c r="A239" s="1787" t="s">
        <v>393</v>
      </c>
      <c r="B239" s="1787" t="s">
        <v>394</v>
      </c>
      <c r="C239" s="376"/>
      <c r="D239" s="2469"/>
      <c r="E239" s="2211"/>
      <c r="F239" s="2390" t="str">
        <f>INDEX(PT_DIFFERENTIATION_VTAR,MATCH(A239,PT_DIFFERENTIATION_VTAR_ID,0))</f>
        <v>Тариф на техническую воду</v>
      </c>
      <c r="G239" s="2434" t="str">
        <f>INDEX(PT_DIFFERENTIATION_NTAR,MATCH(B239,PT_DIFFERENTIATION_NTAR_ID,0))</f>
        <v/>
      </c>
      <c r="H239" s="1869"/>
      <c r="I239" s="1746"/>
      <c r="J239" s="1780"/>
      <c r="K239" s="1785"/>
      <c r="L239" s="1869" t="s">
        <v>469</v>
      </c>
      <c r="M239" s="348"/>
      <c r="N239" s="341"/>
      <c r="O239" s="1631"/>
      <c r="P239" s="1631"/>
      <c r="AH239" s="1638">
        <v>0</v>
      </c>
    </row>
    <row s="1642" customFormat="1" customHeight="1" ht="18.75" hidden="1">
      <c r="A240" s="1787"/>
      <c r="B240" s="1787"/>
      <c r="C240" s="376" t="s">
        <v>1307</v>
      </c>
      <c r="D240" s="2469"/>
      <c r="E240" s="2211"/>
      <c r="F240" s="2390"/>
      <c r="G240" s="2434"/>
      <c r="H240" s="1507"/>
      <c r="I240" s="658" t="s">
        <v>1306</v>
      </c>
      <c r="J240" s="578"/>
      <c r="K240" s="1507"/>
      <c r="L240" s="221"/>
      <c r="M240" s="348"/>
      <c r="N240" s="341"/>
      <c r="O240" s="1631"/>
      <c r="P240" s="1631"/>
      <c r="AH240" s="1638">
        <v>0</v>
      </c>
    </row>
    <row s="1642" customFormat="1" customHeight="1" ht="0.75" hidden="1">
      <c r="A241" s="1787"/>
      <c r="B241" s="1787"/>
      <c r="C241" s="376" t="s">
        <v>1316</v>
      </c>
      <c r="D241" s="2469"/>
      <c r="E241" s="2211"/>
      <c r="F241" s="2390"/>
      <c r="G241" s="407"/>
      <c r="H241" s="1507"/>
      <c r="I241" s="658"/>
      <c r="J241" s="578"/>
      <c r="K241" s="1507"/>
      <c r="L241" s="221"/>
      <c r="M241" s="348"/>
      <c r="N241" s="341"/>
      <c r="O241" s="1631"/>
      <c r="P241" s="1631"/>
      <c r="AH241" s="1638">
        <v>0</v>
      </c>
    </row>
    <row s="1642" customFormat="1" customHeight="1" ht="18.75" hidden="1">
      <c r="A242" s="1787" t="s">
        <v>398</v>
      </c>
      <c r="B242" s="1787" t="s">
        <v>399</v>
      </c>
      <c r="C242" s="376"/>
      <c r="D242" s="2469"/>
      <c r="E242" s="2211"/>
      <c r="F242" s="2390" t="str">
        <f>INDEX(PT_DIFFERENTIATION_VTAR,MATCH(A242,PT_DIFFERENTIATION_VTAR_ID,0))</f>
        <v>Тариф на транспортировку воды</v>
      </c>
      <c r="G242" s="2434" t="str">
        <f>INDEX(PT_DIFFERENTIATION_NTAR,MATCH(B242,PT_DIFFERENTIATION_NTAR_ID,0))</f>
        <v/>
      </c>
      <c r="H242" s="1869"/>
      <c r="I242" s="1746"/>
      <c r="J242" s="1780"/>
      <c r="K242" s="1785"/>
      <c r="L242" s="1869" t="s">
        <v>469</v>
      </c>
      <c r="M242" s="348"/>
      <c r="N242" s="341"/>
      <c r="O242" s="1631"/>
      <c r="P242" s="1631"/>
      <c r="AH242" s="1638">
        <v>0</v>
      </c>
    </row>
    <row s="1642" customFormat="1" customHeight="1" ht="18.75" hidden="1">
      <c r="A243" s="1787"/>
      <c r="B243" s="1787"/>
      <c r="C243" s="376" t="s">
        <v>1307</v>
      </c>
      <c r="D243" s="2469"/>
      <c r="E243" s="2211"/>
      <c r="F243" s="2390"/>
      <c r="G243" s="2434"/>
      <c r="H243" s="1507"/>
      <c r="I243" s="658" t="s">
        <v>1306</v>
      </c>
      <c r="J243" s="578"/>
      <c r="K243" s="1507"/>
      <c r="L243" s="221"/>
      <c r="M243" s="348"/>
      <c r="N243" s="341"/>
      <c r="O243" s="1631"/>
      <c r="P243" s="1631"/>
      <c r="AH243" s="1638">
        <v>0</v>
      </c>
    </row>
    <row s="1642" customFormat="1" customHeight="1" ht="0.75" hidden="1">
      <c r="A244" s="1787"/>
      <c r="B244" s="1787"/>
      <c r="C244" s="376" t="s">
        <v>1316</v>
      </c>
      <c r="D244" s="2469"/>
      <c r="E244" s="2211"/>
      <c r="F244" s="2390"/>
      <c r="G244" s="407"/>
      <c r="H244" s="1507"/>
      <c r="I244" s="658"/>
      <c r="J244" s="578"/>
      <c r="K244" s="1507"/>
      <c r="L244" s="221"/>
      <c r="M244" s="348"/>
      <c r="N244" s="341"/>
      <c r="O244" s="1631"/>
      <c r="P244" s="1631"/>
      <c r="AH244" s="1638">
        <v>0</v>
      </c>
    </row>
    <row s="1642" customFormat="1" customHeight="1" ht="18.75" hidden="1">
      <c r="A245" s="1787" t="s">
        <v>403</v>
      </c>
      <c r="B245" s="1787" t="s">
        <v>404</v>
      </c>
      <c r="C245" s="376"/>
      <c r="D245" s="2469"/>
      <c r="E245" s="2211"/>
      <c r="F245" s="2390" t="str">
        <f>INDEX(PT_DIFFERENTIATION_VTAR,MATCH(A245,PT_DIFFERENTIATION_VTAR_ID,0))</f>
        <v>Тариф на подвоз воды</v>
      </c>
      <c r="G245" s="2434" t="str">
        <f>INDEX(PT_DIFFERENTIATION_NTAR,MATCH(B245,PT_DIFFERENTIATION_NTAR_ID,0))</f>
        <v/>
      </c>
      <c r="H245" s="1869"/>
      <c r="I245" s="1746"/>
      <c r="J245" s="1780"/>
      <c r="K245" s="1785"/>
      <c r="L245" s="1869" t="s">
        <v>469</v>
      </c>
      <c r="M245" s="348"/>
      <c r="N245" s="341"/>
      <c r="O245" s="1631"/>
      <c r="P245" s="1631"/>
      <c r="AH245" s="1638">
        <v>0</v>
      </c>
    </row>
    <row s="1642" customFormat="1" customHeight="1" ht="18.75" hidden="1">
      <c r="A246" s="1787"/>
      <c r="B246" s="1787"/>
      <c r="C246" s="376" t="s">
        <v>1307</v>
      </c>
      <c r="D246" s="2469"/>
      <c r="E246" s="2211"/>
      <c r="F246" s="2390"/>
      <c r="G246" s="2434"/>
      <c r="H246" s="1507"/>
      <c r="I246" s="658" t="s">
        <v>1306</v>
      </c>
      <c r="J246" s="578"/>
      <c r="K246" s="1507"/>
      <c r="L246" s="221"/>
      <c r="M246" s="348"/>
      <c r="N246" s="341"/>
      <c r="O246" s="1631"/>
      <c r="P246" s="1631"/>
      <c r="AH246" s="1638">
        <v>0</v>
      </c>
    </row>
    <row s="1642" customFormat="1" customHeight="1" ht="0.75" hidden="1">
      <c r="A247" s="1787"/>
      <c r="B247" s="1787"/>
      <c r="C247" s="376" t="s">
        <v>1316</v>
      </c>
      <c r="D247" s="2469"/>
      <c r="E247" s="2211"/>
      <c r="F247" s="2390"/>
      <c r="G247" s="407"/>
      <c r="H247" s="1507"/>
      <c r="I247" s="658"/>
      <c r="J247" s="578"/>
      <c r="K247" s="1507"/>
      <c r="L247" s="221"/>
      <c r="M247" s="348"/>
      <c r="N247" s="341"/>
      <c r="O247" s="1631"/>
      <c r="P247" s="1631"/>
      <c r="AH247" s="1638">
        <v>0</v>
      </c>
    </row>
    <row s="1642" customFormat="1" customHeight="1" ht="18.75" hidden="1">
      <c r="A248" s="1787" t="s">
        <v>408</v>
      </c>
      <c r="B248" s="1787" t="s">
        <v>409</v>
      </c>
      <c r="C248" s="376"/>
      <c r="D248" s="2469"/>
      <c r="E248" s="2211"/>
      <c r="F248" s="2390"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34" t="str">
        <f>INDEX(PT_DIFFERENTIATION_NTAR,MATCH(B248,PT_DIFFERENTIATION_NTAR_ID,0))</f>
        <v/>
      </c>
      <c r="H248" s="1869"/>
      <c r="I248" s="1746"/>
      <c r="J248" s="1780"/>
      <c r="K248" s="1785"/>
      <c r="L248" s="1869" t="s">
        <v>469</v>
      </c>
      <c r="M248" s="348"/>
      <c r="N248" s="341"/>
      <c r="O248" s="1631"/>
      <c r="P248" s="1631"/>
      <c r="AH248" s="1638">
        <v>0</v>
      </c>
    </row>
    <row s="1642" customFormat="1" customHeight="1" ht="18.75" hidden="1">
      <c r="A249" s="1787"/>
      <c r="B249" s="1787"/>
      <c r="C249" s="376" t="s">
        <v>1307</v>
      </c>
      <c r="D249" s="2469"/>
      <c r="E249" s="2211"/>
      <c r="F249" s="2390"/>
      <c r="G249" s="2434"/>
      <c r="H249" s="1507"/>
      <c r="I249" s="658" t="s">
        <v>1306</v>
      </c>
      <c r="J249" s="578"/>
      <c r="K249" s="1507"/>
      <c r="L249" s="221"/>
      <c r="M249" s="348"/>
      <c r="N249" s="341"/>
      <c r="O249" s="1631"/>
      <c r="P249" s="1631"/>
      <c r="AH249" s="1638">
        <v>0</v>
      </c>
    </row>
    <row s="1642" customFormat="1" customHeight="1" ht="0.75" hidden="1">
      <c r="A250" s="1787"/>
      <c r="B250" s="1787"/>
      <c r="C250" s="376" t="s">
        <v>1316</v>
      </c>
      <c r="D250" s="2469"/>
      <c r="E250" s="2211"/>
      <c r="F250" s="2390"/>
      <c r="G250" s="407"/>
      <c r="H250" s="1507"/>
      <c r="I250" s="658"/>
      <c r="J250" s="578"/>
      <c r="K250" s="1507"/>
      <c r="L250" s="221"/>
      <c r="M250" s="348"/>
      <c r="N250" s="341"/>
      <c r="O250" s="1631"/>
      <c r="P250" s="1631"/>
      <c r="AH250" s="1638">
        <v>0</v>
      </c>
    </row>
    <row s="1642" customFormat="1" customHeight="1" ht="18.75" hidden="1">
      <c r="A251" s="1787" t="s">
        <v>413</v>
      </c>
      <c r="B251" s="1787" t="s">
        <v>414</v>
      </c>
      <c r="C251" s="376"/>
      <c r="D251" s="2469"/>
      <c r="E251" s="2211"/>
      <c r="F251" s="2390" t="str">
        <f>INDEX(PT_DIFFERENTIATION_VTAR,MATCH(A251,PT_DIFFERENTIATION_VTAR_ID,0))</f>
        <v>Тариф на горячую воду (горячее водоснабжение)</v>
      </c>
      <c r="G251" s="2434" t="str">
        <f>INDEX(PT_DIFFERENTIATION_NTAR,MATCH(B251,PT_DIFFERENTIATION_NTAR_ID,0))</f>
        <v/>
      </c>
      <c r="H251" s="1869"/>
      <c r="I251" s="1746"/>
      <c r="J251" s="1780"/>
      <c r="K251" s="1785"/>
      <c r="L251" s="1869" t="s">
        <v>469</v>
      </c>
      <c r="M251" s="348"/>
      <c r="N251" s="341"/>
      <c r="O251" s="1631"/>
      <c r="P251" s="1631"/>
      <c r="AH251" s="1638">
        <v>0</v>
      </c>
    </row>
    <row s="1642" customFormat="1" customHeight="1" ht="18.75" hidden="1">
      <c r="A252" s="1787"/>
      <c r="B252" s="1787"/>
      <c r="C252" s="376" t="s">
        <v>1307</v>
      </c>
      <c r="D252" s="2469"/>
      <c r="E252" s="2211"/>
      <c r="F252" s="2390"/>
      <c r="G252" s="2434"/>
      <c r="H252" s="1507"/>
      <c r="I252" s="658" t="s">
        <v>1306</v>
      </c>
      <c r="J252" s="578"/>
      <c r="K252" s="1507"/>
      <c r="L252" s="221"/>
      <c r="M252" s="348"/>
      <c r="N252" s="341"/>
      <c r="O252" s="1631"/>
      <c r="P252" s="1631"/>
      <c r="AH252" s="1638">
        <v>0</v>
      </c>
    </row>
    <row s="1642" customFormat="1" customHeight="1" ht="0.75" hidden="1">
      <c r="A253" s="1787"/>
      <c r="B253" s="1787"/>
      <c r="C253" s="376" t="s">
        <v>1316</v>
      </c>
      <c r="D253" s="2469"/>
      <c r="E253" s="2211"/>
      <c r="F253" s="2390"/>
      <c r="G253" s="407"/>
      <c r="H253" s="1507"/>
      <c r="I253" s="658"/>
      <c r="J253" s="578"/>
      <c r="K253" s="1507"/>
      <c r="L253" s="221"/>
      <c r="M253" s="348"/>
      <c r="N253" s="341"/>
      <c r="O253" s="1631"/>
      <c r="P253" s="1631"/>
      <c r="AH253" s="1638">
        <v>0</v>
      </c>
    </row>
    <row s="1642" customFormat="1" customHeight="1" ht="18.75" hidden="1">
      <c r="A254" s="1787" t="s">
        <v>418</v>
      </c>
      <c r="B254" s="1787" t="s">
        <v>419</v>
      </c>
      <c r="C254" s="376"/>
      <c r="D254" s="2469"/>
      <c r="E254" s="2211"/>
      <c r="F254" s="2390" t="str">
        <f>INDEX(PT_DIFFERENTIATION_VTAR,MATCH(A254,PT_DIFFERENTIATION_VTAR_ID,0))</f>
        <v>Тариф на транспортировку горячей воды</v>
      </c>
      <c r="G254" s="2434" t="str">
        <f>INDEX(PT_DIFFERENTIATION_NTAR,MATCH(B254,PT_DIFFERENTIATION_NTAR_ID,0))</f>
        <v/>
      </c>
      <c r="H254" s="1869"/>
      <c r="I254" s="1746"/>
      <c r="J254" s="1780"/>
      <c r="K254" s="1785"/>
      <c r="L254" s="1869" t="s">
        <v>469</v>
      </c>
      <c r="M254" s="348"/>
      <c r="N254" s="341"/>
      <c r="O254" s="1631"/>
      <c r="P254" s="1631"/>
      <c r="AH254" s="1638">
        <v>0</v>
      </c>
    </row>
    <row s="1642" customFormat="1" customHeight="1" ht="18.75" hidden="1">
      <c r="A255" s="1787"/>
      <c r="B255" s="1787"/>
      <c r="C255" s="376" t="s">
        <v>1307</v>
      </c>
      <c r="D255" s="2469"/>
      <c r="E255" s="2211"/>
      <c r="F255" s="2390"/>
      <c r="G255" s="2434"/>
      <c r="H255" s="1507"/>
      <c r="I255" s="658" t="s">
        <v>1306</v>
      </c>
      <c r="J255" s="578"/>
      <c r="K255" s="1507"/>
      <c r="L255" s="221"/>
      <c r="M255" s="348"/>
      <c r="N255" s="341"/>
      <c r="O255" s="1631"/>
      <c r="P255" s="1631"/>
      <c r="AH255" s="1638">
        <v>0</v>
      </c>
    </row>
    <row s="1642" customFormat="1" customHeight="1" ht="0.75" hidden="1">
      <c r="A256" s="1787"/>
      <c r="B256" s="1787"/>
      <c r="C256" s="376" t="s">
        <v>1316</v>
      </c>
      <c r="D256" s="2469"/>
      <c r="E256" s="2211"/>
      <c r="F256" s="2390"/>
      <c r="G256" s="407"/>
      <c r="H256" s="1507"/>
      <c r="I256" s="658"/>
      <c r="J256" s="578"/>
      <c r="K256" s="1507"/>
      <c r="L256" s="221"/>
      <c r="M256" s="348"/>
      <c r="N256" s="341"/>
      <c r="O256" s="1631"/>
      <c r="P256" s="1631"/>
      <c r="AH256" s="1638">
        <v>0</v>
      </c>
    </row>
    <row s="1642" customFormat="1" customHeight="1" ht="18.75" hidden="1">
      <c r="A257" s="1787" t="s">
        <v>423</v>
      </c>
      <c r="B257" s="1787" t="s">
        <v>424</v>
      </c>
      <c r="C257" s="376"/>
      <c r="D257" s="2469"/>
      <c r="E257" s="2211"/>
      <c r="F257" s="2390"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34" t="str">
        <f>INDEX(PT_DIFFERENTIATION_NTAR,MATCH(B257,PT_DIFFERENTIATION_NTAR_ID,0))</f>
        <v/>
      </c>
      <c r="H257" s="1869"/>
      <c r="I257" s="1746"/>
      <c r="J257" s="1780"/>
      <c r="K257" s="1785"/>
      <c r="L257" s="1869" t="s">
        <v>469</v>
      </c>
      <c r="M257" s="348"/>
      <c r="N257" s="341"/>
      <c r="O257" s="1631"/>
      <c r="P257" s="1631"/>
      <c r="AH257" s="1638">
        <v>0</v>
      </c>
    </row>
    <row s="1642" customFormat="1" customHeight="1" ht="18.75" hidden="1">
      <c r="A258" s="1787"/>
      <c r="B258" s="1787"/>
      <c r="C258" s="376" t="s">
        <v>1307</v>
      </c>
      <c r="D258" s="2469"/>
      <c r="E258" s="2211"/>
      <c r="F258" s="2390"/>
      <c r="G258" s="2434"/>
      <c r="H258" s="1507"/>
      <c r="I258" s="658" t="s">
        <v>1306</v>
      </c>
      <c r="J258" s="578"/>
      <c r="K258" s="1507"/>
      <c r="L258" s="221"/>
      <c r="M258" s="348"/>
      <c r="N258" s="341"/>
      <c r="O258" s="1631"/>
      <c r="P258" s="1631"/>
      <c r="AH258" s="1638">
        <v>0</v>
      </c>
    </row>
    <row s="1642" customFormat="1" customHeight="1" ht="0.75" hidden="1">
      <c r="A259" s="1787"/>
      <c r="B259" s="1787"/>
      <c r="C259" s="376" t="s">
        <v>1316</v>
      </c>
      <c r="D259" s="2469"/>
      <c r="E259" s="2211"/>
      <c r="F259" s="2390"/>
      <c r="G259" s="407"/>
      <c r="H259" s="1507"/>
      <c r="I259" s="658"/>
      <c r="J259" s="578"/>
      <c r="K259" s="1507"/>
      <c r="L259" s="221"/>
      <c r="M259" s="348"/>
      <c r="N259" s="341"/>
      <c r="O259" s="1631"/>
      <c r="P259" s="1631"/>
      <c r="AH259" s="1638">
        <v>0</v>
      </c>
    </row>
    <row s="1642" customFormat="1" customHeight="1" ht="18.75" hidden="1">
      <c r="A260" s="1787" t="s">
        <v>428</v>
      </c>
      <c r="B260" s="1787" t="s">
        <v>429</v>
      </c>
      <c r="C260" s="376"/>
      <c r="D260" s="2469"/>
      <c r="E260" s="2211"/>
      <c r="F260" s="2390" t="str">
        <f>INDEX(PT_DIFFERENTIATION_VTAR,MATCH(A260,PT_DIFFERENTIATION_VTAR_ID,0))</f>
        <v>Тариф на водоотведение</v>
      </c>
      <c r="G260" s="2434" t="str">
        <f>INDEX(PT_DIFFERENTIATION_NTAR,MATCH(B260,PT_DIFFERENTIATION_NTAR_ID,0))</f>
        <v/>
      </c>
      <c r="H260" s="1869"/>
      <c r="I260" s="1746"/>
      <c r="J260" s="1780"/>
      <c r="K260" s="1785"/>
      <c r="L260" s="1869" t="s">
        <v>469</v>
      </c>
      <c r="M260" s="348"/>
      <c r="N260" s="341"/>
      <c r="O260" s="1631"/>
      <c r="P260" s="1631"/>
      <c r="AH260" s="1638">
        <v>0</v>
      </c>
    </row>
    <row s="1642" customFormat="1" customHeight="1" ht="18.75" hidden="1">
      <c r="A261" s="1787"/>
      <c r="B261" s="1787"/>
      <c r="C261" s="376" t="s">
        <v>1307</v>
      </c>
      <c r="D261" s="2469"/>
      <c r="E261" s="2211"/>
      <c r="F261" s="2390"/>
      <c r="G261" s="2434"/>
      <c r="H261" s="1507"/>
      <c r="I261" s="658" t="s">
        <v>1306</v>
      </c>
      <c r="J261" s="578"/>
      <c r="K261" s="1507"/>
      <c r="L261" s="221"/>
      <c r="M261" s="348"/>
      <c r="N261" s="341"/>
      <c r="O261" s="1631"/>
      <c r="P261" s="1631"/>
      <c r="AH261" s="1638">
        <v>0</v>
      </c>
    </row>
    <row s="1642" customFormat="1" customHeight="1" ht="0.75" hidden="1">
      <c r="A262" s="1787"/>
      <c r="B262" s="1787"/>
      <c r="C262" s="376" t="s">
        <v>1316</v>
      </c>
      <c r="D262" s="2469"/>
      <c r="E262" s="2211"/>
      <c r="F262" s="2390"/>
      <c r="G262" s="407"/>
      <c r="H262" s="1507"/>
      <c r="I262" s="658"/>
      <c r="J262" s="578"/>
      <c r="K262" s="1507"/>
      <c r="L262" s="221"/>
      <c r="M262" s="348"/>
      <c r="N262" s="341"/>
      <c r="O262" s="1631"/>
      <c r="P262" s="1631"/>
      <c r="AH262" s="1638">
        <v>0</v>
      </c>
    </row>
    <row s="1642" customFormat="1" customHeight="1" ht="18.75" hidden="1">
      <c r="A263" s="1787" t="s">
        <v>433</v>
      </c>
      <c r="B263" s="1787" t="s">
        <v>434</v>
      </c>
      <c r="C263" s="376"/>
      <c r="D263" s="2469"/>
      <c r="E263" s="2211"/>
      <c r="F263" s="2390" t="str">
        <f>INDEX(PT_DIFFERENTIATION_VTAR,MATCH(A263,PT_DIFFERENTIATION_VTAR_ID,0))</f>
        <v>Тариф на транспортировку сточных вод</v>
      </c>
      <c r="G263" s="2434" t="str">
        <f>INDEX(PT_DIFFERENTIATION_NTAR,MATCH(B263,PT_DIFFERENTIATION_NTAR_ID,0))</f>
        <v/>
      </c>
      <c r="H263" s="1869"/>
      <c r="I263" s="1746"/>
      <c r="J263" s="1780"/>
      <c r="K263" s="1785"/>
      <c r="L263" s="1869" t="s">
        <v>469</v>
      </c>
      <c r="M263" s="348"/>
      <c r="N263" s="341"/>
      <c r="O263" s="1631"/>
      <c r="P263" s="1631"/>
      <c r="AH263" s="1638">
        <v>0</v>
      </c>
    </row>
    <row s="1642" customFormat="1" customHeight="1" ht="18.75" hidden="1">
      <c r="A264" s="1787"/>
      <c r="B264" s="1787"/>
      <c r="C264" s="376" t="s">
        <v>1307</v>
      </c>
      <c r="D264" s="2469"/>
      <c r="E264" s="2211"/>
      <c r="F264" s="2390"/>
      <c r="G264" s="2434"/>
      <c r="H264" s="1507"/>
      <c r="I264" s="658" t="s">
        <v>1306</v>
      </c>
      <c r="J264" s="578"/>
      <c r="K264" s="1507"/>
      <c r="L264" s="221"/>
      <c r="M264" s="348"/>
      <c r="N264" s="341"/>
      <c r="O264" s="1631"/>
      <c r="P264" s="1631"/>
      <c r="AH264" s="1638">
        <v>0</v>
      </c>
    </row>
    <row s="1642" customFormat="1" customHeight="1" ht="0.75" hidden="1">
      <c r="A265" s="1787"/>
      <c r="B265" s="1787"/>
      <c r="C265" s="376" t="s">
        <v>1316</v>
      </c>
      <c r="D265" s="2469"/>
      <c r="E265" s="2211"/>
      <c r="F265" s="2390"/>
      <c r="G265" s="407"/>
      <c r="H265" s="1507"/>
      <c r="I265" s="658"/>
      <c r="J265" s="578"/>
      <c r="K265" s="1507"/>
      <c r="L265" s="221"/>
      <c r="M265" s="348"/>
      <c r="N265" s="341"/>
      <c r="O265" s="1631"/>
      <c r="P265" s="1631"/>
      <c r="AH265" s="1638">
        <v>0</v>
      </c>
    </row>
    <row s="1642" customFormat="1" customHeight="1" ht="18.75" hidden="1">
      <c r="A266" s="1787" t="s">
        <v>438</v>
      </c>
      <c r="B266" s="1787" t="s">
        <v>439</v>
      </c>
      <c r="C266" s="376"/>
      <c r="D266" s="2469"/>
      <c r="E266" s="2211"/>
      <c r="F266" s="2390" t="str">
        <f>INDEX(PT_DIFFERENTIATION_VTAR,MATCH(A266,PT_DIFFERENTIATION_VTAR_ID,0))</f>
        <v>Тариф на подключение (технологическое присоединение) к централизованной системе водоотведения</v>
      </c>
      <c r="G266" s="2434" t="str">
        <f>INDEX(PT_DIFFERENTIATION_NTAR,MATCH(B266,PT_DIFFERENTIATION_NTAR_ID,0))</f>
        <v/>
      </c>
      <c r="H266" s="1869"/>
      <c r="I266" s="1746"/>
      <c r="J266" s="1780"/>
      <c r="K266" s="1785"/>
      <c r="L266" s="1869" t="s">
        <v>469</v>
      </c>
      <c r="M266" s="348"/>
      <c r="N266" s="341"/>
      <c r="O266" s="1631"/>
      <c r="P266" s="1631"/>
      <c r="AH266" s="1638">
        <v>0</v>
      </c>
    </row>
    <row s="1642" customFormat="1" customHeight="1" ht="18.75" hidden="1">
      <c r="A267" s="1787"/>
      <c r="B267" s="1787"/>
      <c r="C267" s="376" t="s">
        <v>1307</v>
      </c>
      <c r="D267" s="2469"/>
      <c r="E267" s="2211"/>
      <c r="F267" s="2390"/>
      <c r="G267" s="2434"/>
      <c r="H267" s="1507"/>
      <c r="I267" s="658" t="s">
        <v>1306</v>
      </c>
      <c r="J267" s="578"/>
      <c r="K267" s="1507"/>
      <c r="L267" s="221"/>
      <c r="M267" s="348"/>
      <c r="N267" s="341"/>
      <c r="O267" s="1631"/>
      <c r="P267" s="1631"/>
      <c r="AH267" s="1638">
        <v>0</v>
      </c>
    </row>
    <row s="1642" customFormat="1" customHeight="1" ht="1.05">
      <c r="A268" s="1787"/>
      <c r="B268" s="1787"/>
      <c r="C268" s="376" t="s">
        <v>1316</v>
      </c>
      <c r="D268" s="2469"/>
      <c r="E268" s="2211"/>
      <c r="F268" s="2390"/>
      <c r="G268" s="407"/>
      <c r="H268" s="1507"/>
      <c r="I268" s="658"/>
      <c r="J268" s="578"/>
      <c r="K268" s="1507"/>
      <c r="L268" s="221"/>
      <c r="M268" s="348"/>
      <c r="N268" s="341"/>
      <c r="O268" s="1631"/>
      <c r="P268" s="1631"/>
      <c r="AH268" s="1638">
        <v>1</v>
      </c>
    </row>
    <row customHeight="1" ht="27.299999999999997">
      <c r="A269" s="1787"/>
      <c r="B269" s="1787"/>
      <c r="D269" s="383"/>
      <c r="E269" s="154" t="s">
        <v>92</v>
      </c>
      <c r="F269" s="2467"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7"/>
      <c r="H269" s="2467"/>
      <c r="I269" s="2467"/>
      <c r="J269" s="2467"/>
      <c r="K269" s="2467"/>
      <c r="L269" s="2467"/>
      <c r="M269" s="304"/>
      <c r="N269" s="341"/>
      <c r="AH269" s="381">
        <v>26</v>
      </c>
    </row>
    <row s="1642" customFormat="1" customHeight="1" ht="60.75" hidden="1">
      <c r="A270" s="1787" t="s">
        <v>241</v>
      </c>
      <c r="B270" s="1787" t="s">
        <v>242</v>
      </c>
      <c r="C270" s="376"/>
      <c r="D270" s="2469"/>
      <c r="E270" s="2211"/>
      <c r="F270" s="2390"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34" t="str">
        <f>INDEX(PT_DIFFERENTIATION_NTAR,MATCH(B270,PT_DIFFERENTIATION_NTAR_ID,0))</f>
        <v/>
      </c>
      <c r="H270" s="1869"/>
      <c r="I270" s="1746"/>
      <c r="J270" s="1780"/>
      <c r="K270" s="1785"/>
      <c r="L270" s="1869" t="s">
        <v>469</v>
      </c>
      <c r="M270" s="217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41"/>
      <c r="O270" s="1631"/>
      <c r="P270" s="1631"/>
      <c r="AH270" s="1638">
        <v>0</v>
      </c>
    </row>
    <row s="1642" customFormat="1" customHeight="1" ht="18.75" hidden="1">
      <c r="A271" s="1787"/>
      <c r="B271" s="1787"/>
      <c r="C271" s="376" t="s">
        <v>1307</v>
      </c>
      <c r="D271" s="2469"/>
      <c r="E271" s="2211"/>
      <c r="F271" s="2390"/>
      <c r="G271" s="2434"/>
      <c r="H271" s="1507"/>
      <c r="I271" s="658" t="s">
        <v>1306</v>
      </c>
      <c r="J271" s="578"/>
      <c r="K271" s="1507"/>
      <c r="L271" s="221"/>
      <c r="M271" s="2177"/>
      <c r="N271" s="341"/>
      <c r="O271" s="1631"/>
      <c r="P271" s="1631"/>
      <c r="AH271" s="1638">
        <v>0</v>
      </c>
    </row>
    <row s="1642" customFormat="1" customHeight="1" ht="0.75" hidden="1">
      <c r="A272" s="1787"/>
      <c r="B272" s="1787"/>
      <c r="C272" s="376" t="s">
        <v>1316</v>
      </c>
      <c r="D272" s="2469"/>
      <c r="E272" s="2211"/>
      <c r="F272" s="2390"/>
      <c r="G272" s="407"/>
      <c r="H272" s="1507"/>
      <c r="I272" s="658"/>
      <c r="J272" s="578"/>
      <c r="K272" s="1507"/>
      <c r="L272" s="221"/>
      <c r="M272" s="2177"/>
      <c r="N272" s="341"/>
      <c r="O272" s="1631"/>
      <c r="P272" s="1631"/>
      <c r="AH272" s="1638">
        <v>0</v>
      </c>
    </row>
    <row s="1642" customFormat="1" customHeight="1" ht="45" hidden="1">
      <c r="A273" s="1787" t="s">
        <v>246</v>
      </c>
      <c r="B273" s="1787" t="s">
        <v>247</v>
      </c>
      <c r="C273" s="376"/>
      <c r="D273" s="2469"/>
      <c r="E273" s="2211"/>
      <c r="F273" s="2390" t="str">
        <f>INDEX(PT_DIFFERENTIATION_VTAR,MATCH(A273,PT_DIFFERENTIATION_VTAR_ID,0))</f>
        <v/>
      </c>
      <c r="G273" s="2434" t="str">
        <f>INDEX(PT_DIFFERENTIATION_NTAR,MATCH(B273,PT_DIFFERENTIATION_NTAR_ID,0))</f>
        <v/>
      </c>
      <c r="H273" s="1869"/>
      <c r="I273" s="1746"/>
      <c r="J273" s="1780"/>
      <c r="K273" s="1785"/>
      <c r="L273" s="1869" t="s">
        <v>469</v>
      </c>
      <c r="M273" s="2178"/>
      <c r="N273" s="341"/>
      <c r="O273" s="1631"/>
      <c r="P273" s="1631"/>
      <c r="AH273" s="1638">
        <v>0</v>
      </c>
    </row>
    <row s="1642" customFormat="1" customHeight="1" ht="18.75" hidden="1">
      <c r="A274" s="1787"/>
      <c r="B274" s="1787"/>
      <c r="C274" s="376" t="s">
        <v>1307</v>
      </c>
      <c r="D274" s="2469"/>
      <c r="E274" s="2211"/>
      <c r="F274" s="2390"/>
      <c r="G274" s="2434"/>
      <c r="H274" s="1507"/>
      <c r="I274" s="658" t="s">
        <v>1306</v>
      </c>
      <c r="J274" s="578"/>
      <c r="K274" s="1507"/>
      <c r="L274" s="221"/>
      <c r="M274" s="1868"/>
      <c r="N274" s="341"/>
      <c r="O274" s="1631"/>
      <c r="P274" s="1631"/>
      <c r="AH274" s="1638">
        <v>0</v>
      </c>
    </row>
    <row s="1642" customFormat="1" customHeight="1" ht="0.75" hidden="1">
      <c r="A275" s="1787"/>
      <c r="B275" s="1787"/>
      <c r="C275" s="376" t="s">
        <v>1316</v>
      </c>
      <c r="D275" s="2469"/>
      <c r="E275" s="2211"/>
      <c r="F275" s="2390"/>
      <c r="G275" s="407"/>
      <c r="H275" s="1507"/>
      <c r="I275" s="658"/>
      <c r="J275" s="578"/>
      <c r="K275" s="1507"/>
      <c r="L275" s="221"/>
      <c r="M275" s="348"/>
      <c r="N275" s="341"/>
      <c r="O275" s="1631"/>
      <c r="P275" s="1631"/>
      <c r="AH275" s="1638">
        <v>0</v>
      </c>
    </row>
    <row s="1642" customFormat="1" customHeight="1" ht="45" hidden="1">
      <c r="A276" s="1787" t="s">
        <v>253</v>
      </c>
      <c r="B276" s="1787" t="s">
        <v>254</v>
      </c>
      <c r="C276" s="376"/>
      <c r="D276" s="2469"/>
      <c r="E276" s="2211"/>
      <c r="F276" s="2390"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34" t="str">
        <f>INDEX(PT_DIFFERENTIATION_NTAR,MATCH(B276,PT_DIFFERENTIATION_NTAR_ID,0))</f>
        <v/>
      </c>
      <c r="H276" s="1869"/>
      <c r="I276" s="1746"/>
      <c r="J276" s="1780"/>
      <c r="K276" s="1785"/>
      <c r="L276" s="1869" t="s">
        <v>469</v>
      </c>
      <c r="M276" s="348"/>
      <c r="N276" s="341"/>
      <c r="O276" s="1631"/>
      <c r="P276" s="1631"/>
      <c r="AH276" s="1638">
        <v>0</v>
      </c>
    </row>
    <row s="1642" customFormat="1" customHeight="1" ht="18.75" hidden="1">
      <c r="A277" s="1787"/>
      <c r="B277" s="1787"/>
      <c r="C277" s="376" t="s">
        <v>1307</v>
      </c>
      <c r="D277" s="2469"/>
      <c r="E277" s="2211"/>
      <c r="F277" s="2390"/>
      <c r="G277" s="2434"/>
      <c r="H277" s="1507"/>
      <c r="I277" s="658" t="s">
        <v>1306</v>
      </c>
      <c r="J277" s="578"/>
      <c r="K277" s="1507"/>
      <c r="L277" s="221"/>
      <c r="M277" s="348"/>
      <c r="N277" s="341"/>
      <c r="O277" s="1631"/>
      <c r="P277" s="1631"/>
      <c r="AH277" s="1638">
        <v>0</v>
      </c>
    </row>
    <row s="1642" customFormat="1" customHeight="1" ht="0.75" hidden="1">
      <c r="A278" s="1787"/>
      <c r="B278" s="1787"/>
      <c r="C278" s="376" t="s">
        <v>1316</v>
      </c>
      <c r="D278" s="2469"/>
      <c r="E278" s="2211"/>
      <c r="F278" s="2390"/>
      <c r="G278" s="407"/>
      <c r="H278" s="1507"/>
      <c r="I278" s="658"/>
      <c r="J278" s="578"/>
      <c r="K278" s="1507"/>
      <c r="L278" s="221"/>
      <c r="M278" s="348"/>
      <c r="N278" s="341"/>
      <c r="O278" s="1631"/>
      <c r="P278" s="1631"/>
      <c r="AH278" s="1638">
        <v>0</v>
      </c>
    </row>
    <row s="1642" customFormat="1" customHeight="1" ht="45" hidden="1">
      <c r="A279" s="1787" t="s">
        <v>259</v>
      </c>
      <c r="B279" s="1787" t="s">
        <v>260</v>
      </c>
      <c r="C279" s="376"/>
      <c r="D279" s="2469"/>
      <c r="E279" s="2211"/>
      <c r="F279" s="2390"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34" t="str">
        <f>INDEX(PT_DIFFERENTIATION_NTAR,MATCH(B279,PT_DIFFERENTIATION_NTAR_ID,0))</f>
        <v/>
      </c>
      <c r="H279" s="1869"/>
      <c r="I279" s="1746"/>
      <c r="J279" s="1780"/>
      <c r="K279" s="1785"/>
      <c r="L279" s="1869" t="s">
        <v>469</v>
      </c>
      <c r="M279" s="348"/>
      <c r="N279" s="341"/>
      <c r="O279" s="1631"/>
      <c r="P279" s="1631"/>
      <c r="AH279" s="1638">
        <v>0</v>
      </c>
    </row>
    <row s="1642" customFormat="1" customHeight="1" ht="18.75" hidden="1">
      <c r="A280" s="1787"/>
      <c r="B280" s="1787"/>
      <c r="C280" s="376" t="s">
        <v>1307</v>
      </c>
      <c r="D280" s="2469"/>
      <c r="E280" s="2211"/>
      <c r="F280" s="2390"/>
      <c r="G280" s="2434"/>
      <c r="H280" s="1507"/>
      <c r="I280" s="658" t="s">
        <v>1306</v>
      </c>
      <c r="J280" s="578"/>
      <c r="K280" s="1507"/>
      <c r="L280" s="221"/>
      <c r="M280" s="348"/>
      <c r="N280" s="341"/>
      <c r="O280" s="1631"/>
      <c r="P280" s="1631"/>
      <c r="AH280" s="1638">
        <v>0</v>
      </c>
    </row>
    <row s="1642" customFormat="1" customHeight="1" ht="0.75" hidden="1">
      <c r="A281" s="1787"/>
      <c r="B281" s="1787"/>
      <c r="C281" s="376" t="s">
        <v>1316</v>
      </c>
      <c r="D281" s="2469"/>
      <c r="E281" s="2211"/>
      <c r="F281" s="2390"/>
      <c r="G281" s="407"/>
      <c r="H281" s="1507"/>
      <c r="I281" s="658"/>
      <c r="J281" s="578"/>
      <c r="K281" s="1507"/>
      <c r="L281" s="221"/>
      <c r="M281" s="348"/>
      <c r="N281" s="341"/>
      <c r="O281" s="1631"/>
      <c r="P281" s="1631"/>
      <c r="AH281" s="1638">
        <v>0</v>
      </c>
    </row>
    <row s="1642" customFormat="1" customHeight="1" ht="18.75" hidden="1">
      <c r="A282" s="1787" t="s">
        <v>265</v>
      </c>
      <c r="B282" s="1787" t="s">
        <v>266</v>
      </c>
      <c r="C282" s="376"/>
      <c r="D282" s="2469"/>
      <c r="E282" s="2211"/>
      <c r="F282" s="2390" t="str">
        <f>INDEX(PT_DIFFERENTIATION_VTAR,MATCH(A282,PT_DIFFERENTIATION_VTAR_ID,0))</f>
        <v>Тарифы на услуги по передаче тепловой энергии</v>
      </c>
      <c r="G282" s="2434" t="str">
        <f>INDEX(PT_DIFFERENTIATION_NTAR,MATCH(B282,PT_DIFFERENTIATION_NTAR_ID,0))</f>
        <v/>
      </c>
      <c r="H282" s="1869"/>
      <c r="I282" s="1746"/>
      <c r="J282" s="1780"/>
      <c r="K282" s="1785"/>
      <c r="L282" s="1869" t="s">
        <v>469</v>
      </c>
      <c r="M282" s="348"/>
      <c r="N282" s="341"/>
      <c r="O282" s="1631"/>
      <c r="P282" s="1631"/>
      <c r="AH282" s="1638">
        <v>0</v>
      </c>
    </row>
    <row s="1642" customFormat="1" customHeight="1" ht="18.75" hidden="1">
      <c r="A283" s="1787"/>
      <c r="B283" s="1787"/>
      <c r="C283" s="376" t="s">
        <v>1307</v>
      </c>
      <c r="D283" s="2469"/>
      <c r="E283" s="2211"/>
      <c r="F283" s="2390"/>
      <c r="G283" s="2434"/>
      <c r="H283" s="1507"/>
      <c r="I283" s="658" t="s">
        <v>1306</v>
      </c>
      <c r="J283" s="578"/>
      <c r="K283" s="1507"/>
      <c r="L283" s="221"/>
      <c r="M283" s="348"/>
      <c r="N283" s="341"/>
      <c r="O283" s="1631"/>
      <c r="P283" s="1631"/>
      <c r="AH283" s="1638">
        <v>0</v>
      </c>
    </row>
    <row s="1642" customFormat="1" customHeight="1" ht="0.75" hidden="1">
      <c r="A284" s="1787"/>
      <c r="B284" s="1787"/>
      <c r="C284" s="376" t="s">
        <v>1316</v>
      </c>
      <c r="D284" s="2469"/>
      <c r="E284" s="2211"/>
      <c r="F284" s="2390"/>
      <c r="G284" s="407"/>
      <c r="H284" s="1507"/>
      <c r="I284" s="658"/>
      <c r="J284" s="578"/>
      <c r="K284" s="1507"/>
      <c r="L284" s="221"/>
      <c r="M284" s="348"/>
      <c r="N284" s="341"/>
      <c r="O284" s="1631"/>
      <c r="P284" s="1631"/>
      <c r="AH284" s="1638">
        <v>0</v>
      </c>
    </row>
    <row s="1642" customFormat="1" customHeight="1" ht="18.75" hidden="1">
      <c r="A285" s="1787" t="s">
        <v>271</v>
      </c>
      <c r="B285" s="1787" t="s">
        <v>272</v>
      </c>
      <c r="C285" s="376"/>
      <c r="D285" s="2469"/>
      <c r="E285" s="2211"/>
      <c r="F285" s="2390" t="str">
        <f>INDEX(PT_DIFFERENTIATION_VTAR,MATCH(A285,PT_DIFFERENTIATION_VTAR_ID,0))</f>
        <v>Тарифы на услуги по передаче теплоносителя</v>
      </c>
      <c r="G285" s="2434" t="str">
        <f>INDEX(PT_DIFFERENTIATION_NTAR,MATCH(B285,PT_DIFFERENTIATION_NTAR_ID,0))</f>
        <v/>
      </c>
      <c r="H285" s="1869"/>
      <c r="I285" s="1746"/>
      <c r="J285" s="1780"/>
      <c r="K285" s="1785"/>
      <c r="L285" s="1869" t="s">
        <v>469</v>
      </c>
      <c r="M285" s="348"/>
      <c r="N285" s="341"/>
      <c r="O285" s="1631"/>
      <c r="P285" s="1631"/>
      <c r="AH285" s="1638">
        <v>0</v>
      </c>
    </row>
    <row s="1642" customFormat="1" customHeight="1" ht="18.75" hidden="1">
      <c r="A286" s="1787"/>
      <c r="B286" s="1787"/>
      <c r="C286" s="376" t="s">
        <v>1307</v>
      </c>
      <c r="D286" s="2469"/>
      <c r="E286" s="2211"/>
      <c r="F286" s="2390"/>
      <c r="G286" s="2434"/>
      <c r="H286" s="1507"/>
      <c r="I286" s="658" t="s">
        <v>1306</v>
      </c>
      <c r="J286" s="578"/>
      <c r="K286" s="1507"/>
      <c r="L286" s="221"/>
      <c r="M286" s="348"/>
      <c r="N286" s="341"/>
      <c r="O286" s="1631"/>
      <c r="P286" s="1631"/>
      <c r="AH286" s="1638">
        <v>0</v>
      </c>
    </row>
    <row s="1642" customFormat="1" customHeight="1" ht="0.75" hidden="1">
      <c r="A287" s="1787"/>
      <c r="B287" s="1787"/>
      <c r="C287" s="376" t="s">
        <v>1316</v>
      </c>
      <c r="D287" s="2469"/>
      <c r="E287" s="2211"/>
      <c r="F287" s="2390"/>
      <c r="G287" s="407"/>
      <c r="H287" s="1507"/>
      <c r="I287" s="658"/>
      <c r="J287" s="578"/>
      <c r="K287" s="1507"/>
      <c r="L287" s="221"/>
      <c r="M287" s="348"/>
      <c r="N287" s="341"/>
      <c r="O287" s="1631"/>
      <c r="P287" s="1631"/>
      <c r="AH287" s="1638">
        <v>0</v>
      </c>
    </row>
    <row s="1642" customFormat="1" customHeight="1" ht="18.75" hidden="1">
      <c r="A288" s="1787" t="s">
        <v>277</v>
      </c>
      <c r="B288" s="1787" t="s">
        <v>278</v>
      </c>
      <c r="C288" s="376"/>
      <c r="D288" s="2469"/>
      <c r="E288" s="2211"/>
      <c r="F288" s="2390"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34" t="str">
        <f>INDEX(PT_DIFFERENTIATION_NTAR,MATCH(B288,PT_DIFFERENTIATION_NTAR_ID,0))</f>
        <v/>
      </c>
      <c r="H288" s="1869"/>
      <c r="I288" s="1746"/>
      <c r="J288" s="1780"/>
      <c r="K288" s="1785"/>
      <c r="L288" s="1869" t="s">
        <v>469</v>
      </c>
      <c r="M288" s="348"/>
      <c r="N288" s="341"/>
      <c r="O288" s="1631"/>
      <c r="P288" s="1631"/>
      <c r="AH288" s="1638">
        <v>0</v>
      </c>
    </row>
    <row s="1642" customFormat="1" customHeight="1" ht="18.75" hidden="1">
      <c r="A289" s="1787"/>
      <c r="B289" s="1787"/>
      <c r="C289" s="376" t="s">
        <v>1307</v>
      </c>
      <c r="D289" s="2469"/>
      <c r="E289" s="2211"/>
      <c r="F289" s="2390"/>
      <c r="G289" s="2434"/>
      <c r="H289" s="1507"/>
      <c r="I289" s="658" t="s">
        <v>1306</v>
      </c>
      <c r="J289" s="578"/>
      <c r="K289" s="1507"/>
      <c r="L289" s="221"/>
      <c r="M289" s="348"/>
      <c r="N289" s="341"/>
      <c r="O289" s="1631"/>
      <c r="P289" s="1631"/>
      <c r="AH289" s="1638">
        <v>0</v>
      </c>
    </row>
    <row s="1642" customFormat="1" customHeight="1" ht="0.75" hidden="1">
      <c r="A290" s="1787"/>
      <c r="B290" s="1787"/>
      <c r="C290" s="376" t="s">
        <v>1316</v>
      </c>
      <c r="D290" s="2469"/>
      <c r="E290" s="2211"/>
      <c r="F290" s="2390"/>
      <c r="G290" s="407"/>
      <c r="H290" s="1507"/>
      <c r="I290" s="658"/>
      <c r="J290" s="578"/>
      <c r="K290" s="1507"/>
      <c r="L290" s="221"/>
      <c r="M290" s="348"/>
      <c r="N290" s="341"/>
      <c r="O290" s="1631"/>
      <c r="P290" s="1631"/>
      <c r="AH290" s="1638">
        <v>0</v>
      </c>
    </row>
    <row s="1642" customFormat="1" customHeight="1" ht="18.75" hidden="1">
      <c r="A291" s="1787" t="s">
        <v>283</v>
      </c>
      <c r="B291" s="1787" t="s">
        <v>284</v>
      </c>
      <c r="C291" s="376"/>
      <c r="D291" s="2469"/>
      <c r="E291" s="2211"/>
      <c r="F291" s="2390" t="str">
        <f>INDEX(PT_DIFFERENTIATION_VTAR,MATCH(A291,PT_DIFFERENTIATION_VTAR_ID,0))</f>
        <v>Плата за подключение (технологическое присоединение) к системе теплоснабжения</v>
      </c>
      <c r="G291" s="2434" t="str">
        <f>INDEX(PT_DIFFERENTIATION_NTAR,MATCH(B291,PT_DIFFERENTIATION_NTAR_ID,0))</f>
        <v/>
      </c>
      <c r="H291" s="1869"/>
      <c r="I291" s="1746"/>
      <c r="J291" s="1780"/>
      <c r="K291" s="1785"/>
      <c r="L291" s="1869" t="s">
        <v>469</v>
      </c>
      <c r="M291" s="348"/>
      <c r="N291" s="341"/>
      <c r="O291" s="1631"/>
      <c r="P291" s="1631"/>
      <c r="AH291" s="1638">
        <v>0</v>
      </c>
    </row>
    <row s="1642" customFormat="1" customHeight="1" ht="18.75" hidden="1">
      <c r="A292" s="1787"/>
      <c r="B292" s="1787"/>
      <c r="C292" s="376" t="s">
        <v>1307</v>
      </c>
      <c r="D292" s="2469"/>
      <c r="E292" s="2211"/>
      <c r="F292" s="2390"/>
      <c r="G292" s="2434"/>
      <c r="H292" s="1507"/>
      <c r="I292" s="658" t="s">
        <v>1306</v>
      </c>
      <c r="J292" s="578"/>
      <c r="K292" s="1507"/>
      <c r="L292" s="221"/>
      <c r="M292" s="348"/>
      <c r="N292" s="341"/>
      <c r="O292" s="1631"/>
      <c r="P292" s="1631"/>
      <c r="AH292" s="1638">
        <v>0</v>
      </c>
    </row>
    <row s="1642" customFormat="1" customHeight="1" ht="0.75" hidden="1">
      <c r="A293" s="1787"/>
      <c r="B293" s="1787"/>
      <c r="C293" s="376" t="s">
        <v>1316</v>
      </c>
      <c r="D293" s="2469"/>
      <c r="E293" s="2211"/>
      <c r="F293" s="2390"/>
      <c r="G293" s="407"/>
      <c r="H293" s="1507"/>
      <c r="I293" s="658"/>
      <c r="J293" s="578"/>
      <c r="K293" s="1507"/>
      <c r="L293" s="221"/>
      <c r="M293" s="348"/>
      <c r="N293" s="341"/>
      <c r="O293" s="1631"/>
      <c r="P293" s="1631"/>
      <c r="AH293" s="1638">
        <v>0</v>
      </c>
    </row>
    <row s="1642" customFormat="1" customHeight="1" ht="18.75" hidden="1">
      <c r="A294" s="1787" t="s">
        <v>289</v>
      </c>
      <c r="B294" s="1787" t="s">
        <v>290</v>
      </c>
      <c r="C294" s="376"/>
      <c r="D294" s="2469"/>
      <c r="E294" s="2211"/>
      <c r="F294" s="2390" t="str">
        <f>INDEX(PT_DIFFERENTIATION_VTAR,MATCH(A294,PT_DIFFERENTIATION_VTAR_ID,0))</f>
        <v>Плата за подключение (технологическое присоединение) к системе теплоснабжения (индивидуальная)</v>
      </c>
      <c r="G294" s="2434" t="str">
        <f>INDEX(PT_DIFFERENTIATION_NTAR,MATCH(B294,PT_DIFFERENTIATION_NTAR_ID,0))</f>
        <v/>
      </c>
      <c r="H294" s="1996"/>
      <c r="I294" s="1746"/>
      <c r="J294" s="1780"/>
      <c r="K294" s="1785"/>
      <c r="L294" s="1996" t="s">
        <v>469</v>
      </c>
      <c r="M294" s="348"/>
      <c r="N294" s="341"/>
      <c r="O294" s="1631"/>
      <c r="P294" s="1631"/>
      <c r="AH294" s="1638">
        <v>0</v>
      </c>
    </row>
    <row s="1642" customFormat="1" customHeight="1" ht="18.75" hidden="1">
      <c r="A295" s="1787"/>
      <c r="B295" s="1787"/>
      <c r="C295" s="376" t="s">
        <v>1307</v>
      </c>
      <c r="D295" s="2469"/>
      <c r="E295" s="2211"/>
      <c r="F295" s="2390"/>
      <c r="G295" s="2434"/>
      <c r="H295" s="1507"/>
      <c r="I295" s="658" t="s">
        <v>1306</v>
      </c>
      <c r="J295" s="578"/>
      <c r="K295" s="1507"/>
      <c r="L295" s="221"/>
      <c r="M295" s="348"/>
      <c r="N295" s="341"/>
      <c r="O295" s="1631"/>
      <c r="P295" s="1631"/>
      <c r="AH295" s="1638">
        <v>0</v>
      </c>
    </row>
    <row s="1642" customFormat="1" customHeight="1" ht="0.75" hidden="1">
      <c r="A296" s="1787"/>
      <c r="B296" s="1787"/>
      <c r="C296" s="376" t="s">
        <v>1316</v>
      </c>
      <c r="D296" s="2469"/>
      <c r="E296" s="2211"/>
      <c r="F296" s="2390"/>
      <c r="G296" s="407"/>
      <c r="H296" s="1507"/>
      <c r="I296" s="658"/>
      <c r="J296" s="578"/>
      <c r="K296" s="1507"/>
      <c r="L296" s="221"/>
      <c r="M296" s="348"/>
      <c r="N296" s="341"/>
      <c r="O296" s="1631"/>
      <c r="P296" s="1631"/>
      <c r="AH296" s="1638">
        <v>0</v>
      </c>
    </row>
    <row s="1642" customFormat="1" customHeight="1" ht="18.75">
      <c r="A297" s="1787" t="s">
        <v>312</v>
      </c>
      <c r="B297" s="1787" t="s">
        <v>313</v>
      </c>
      <c r="C297" s="376"/>
      <c r="D297" s="2469"/>
      <c r="E297" s="2211"/>
      <c r="F297" s="2390" t="str">
        <f>INDEX(PT_DIFFERENTIATION_VTAR,MATCH(A297,PT_DIFFERENTIATION_VTAR_ID,0))</f>
        <v>Тариф на питьевую воду (питьевое водоснабжение)</v>
      </c>
      <c r="G297" s="2434" t="str">
        <f>INDEX(PT_DIFFERENTIATION_NTAR,MATCH(B297,PT_DIFFERENTIATION_NTAR_ID,0))</f>
        <v>Холодное водоснабжение. Питьевая вода</v>
      </c>
      <c r="H297" s="1869"/>
      <c r="I297" s="1746">
        <v>45658</v>
      </c>
      <c r="J297" s="1780">
        <v>46022</v>
      </c>
      <c r="K297" s="1785">
        <v>0</v>
      </c>
      <c r="L297" s="1869" t="s">
        <v>469</v>
      </c>
      <c r="M297" s="348"/>
      <c r="N297" s="341"/>
      <c r="O297" s="1631"/>
      <c r="P297" s="1631"/>
      <c r="AH297" s="1638">
        <v>0</v>
      </c>
    </row>
    <row s="1642" customFormat="1" customHeight="1" ht="18.75">
      <c r="A298" s="1787"/>
      <c r="B298" s="1787"/>
      <c r="C298" s="376" t="s">
        <v>1307</v>
      </c>
      <c r="D298" s="2469"/>
      <c r="E298" s="2211"/>
      <c r="F298" s="2390"/>
      <c r="G298" s="2434"/>
      <c r="H298" s="1507"/>
      <c r="I298" s="658" t="s">
        <v>1306</v>
      </c>
      <c r="J298" s="578"/>
      <c r="K298" s="1507"/>
      <c r="L298" s="221"/>
      <c r="M298" s="348"/>
      <c r="N298" s="341"/>
      <c r="O298" s="1631"/>
      <c r="P298" s="1631"/>
      <c r="AH298" s="1638">
        <v>0</v>
      </c>
    </row>
    <row s="1642" customFormat="1" customHeight="1" ht="0.75">
      <c r="A299" s="1787"/>
      <c r="B299" s="1787"/>
      <c r="C299" s="376" t="s">
        <v>1316</v>
      </c>
      <c r="D299" s="2469"/>
      <c r="E299" s="2211"/>
      <c r="F299" s="2390"/>
      <c r="G299" s="407"/>
      <c r="H299" s="1507"/>
      <c r="I299" s="658"/>
      <c r="J299" s="578"/>
      <c r="K299" s="1507"/>
      <c r="L299" s="221"/>
      <c r="M299" s="348"/>
      <c r="N299" s="341"/>
      <c r="O299" s="1631"/>
      <c r="P299" s="1631"/>
      <c r="AH299" s="1638">
        <v>0</v>
      </c>
    </row>
    <row s="1642" customFormat="1" customHeight="1" ht="18.75" hidden="1">
      <c r="A300" s="1787" t="s">
        <v>393</v>
      </c>
      <c r="B300" s="1787" t="s">
        <v>394</v>
      </c>
      <c r="C300" s="376"/>
      <c r="D300" s="2469"/>
      <c r="E300" s="2211"/>
      <c r="F300" s="2390" t="str">
        <f>INDEX(PT_DIFFERENTIATION_VTAR,MATCH(A300,PT_DIFFERENTIATION_VTAR_ID,0))</f>
        <v>Тариф на техническую воду</v>
      </c>
      <c r="G300" s="2434" t="str">
        <f>INDEX(PT_DIFFERENTIATION_NTAR,MATCH(B300,PT_DIFFERENTIATION_NTAR_ID,0))</f>
        <v/>
      </c>
      <c r="H300" s="1869"/>
      <c r="I300" s="1746"/>
      <c r="J300" s="1780"/>
      <c r="K300" s="1785"/>
      <c r="L300" s="1869" t="s">
        <v>469</v>
      </c>
      <c r="M300" s="348"/>
      <c r="N300" s="341"/>
      <c r="O300" s="1631"/>
      <c r="P300" s="1631"/>
      <c r="AH300" s="1638">
        <v>0</v>
      </c>
    </row>
    <row s="1642" customFormat="1" customHeight="1" ht="18.75" hidden="1">
      <c r="A301" s="1787"/>
      <c r="B301" s="1787"/>
      <c r="C301" s="376" t="s">
        <v>1307</v>
      </c>
      <c r="D301" s="2469"/>
      <c r="E301" s="2211"/>
      <c r="F301" s="2390"/>
      <c r="G301" s="2434"/>
      <c r="H301" s="1507"/>
      <c r="I301" s="658" t="s">
        <v>1306</v>
      </c>
      <c r="J301" s="578"/>
      <c r="K301" s="1507"/>
      <c r="L301" s="221"/>
      <c r="M301" s="348"/>
      <c r="N301" s="341"/>
      <c r="O301" s="1631"/>
      <c r="P301" s="1631"/>
      <c r="AH301" s="1638">
        <v>0</v>
      </c>
    </row>
    <row s="1642" customFormat="1" customHeight="1" ht="0.75" hidden="1">
      <c r="A302" s="1787"/>
      <c r="B302" s="1787"/>
      <c r="C302" s="376" t="s">
        <v>1316</v>
      </c>
      <c r="D302" s="2469"/>
      <c r="E302" s="2211"/>
      <c r="F302" s="2390"/>
      <c r="G302" s="407"/>
      <c r="H302" s="1507"/>
      <c r="I302" s="658"/>
      <c r="J302" s="578"/>
      <c r="K302" s="1507"/>
      <c r="L302" s="221"/>
      <c r="M302" s="348"/>
      <c r="N302" s="341"/>
      <c r="O302" s="1631"/>
      <c r="P302" s="1631"/>
      <c r="AH302" s="1638">
        <v>0</v>
      </c>
    </row>
    <row s="1642" customFormat="1" customHeight="1" ht="18.75" hidden="1">
      <c r="A303" s="1787" t="s">
        <v>398</v>
      </c>
      <c r="B303" s="1787" t="s">
        <v>399</v>
      </c>
      <c r="C303" s="376"/>
      <c r="D303" s="2469"/>
      <c r="E303" s="2211"/>
      <c r="F303" s="2390" t="str">
        <f>INDEX(PT_DIFFERENTIATION_VTAR,MATCH(A303,PT_DIFFERENTIATION_VTAR_ID,0))</f>
        <v>Тариф на транспортировку воды</v>
      </c>
      <c r="G303" s="2434" t="str">
        <f>INDEX(PT_DIFFERENTIATION_NTAR,MATCH(B303,PT_DIFFERENTIATION_NTAR_ID,0))</f>
        <v/>
      </c>
      <c r="H303" s="1869"/>
      <c r="I303" s="1746"/>
      <c r="J303" s="1780"/>
      <c r="K303" s="1785"/>
      <c r="L303" s="1869" t="s">
        <v>469</v>
      </c>
      <c r="M303" s="348"/>
      <c r="N303" s="341"/>
      <c r="O303" s="1631"/>
      <c r="P303" s="1631"/>
      <c r="AH303" s="1638">
        <v>0</v>
      </c>
    </row>
    <row s="1642" customFormat="1" customHeight="1" ht="18.75" hidden="1">
      <c r="A304" s="1787"/>
      <c r="B304" s="1787"/>
      <c r="C304" s="376" t="s">
        <v>1307</v>
      </c>
      <c r="D304" s="2469"/>
      <c r="E304" s="2211"/>
      <c r="F304" s="2390"/>
      <c r="G304" s="2434"/>
      <c r="H304" s="1507"/>
      <c r="I304" s="658" t="s">
        <v>1306</v>
      </c>
      <c r="J304" s="578"/>
      <c r="K304" s="1507"/>
      <c r="L304" s="221"/>
      <c r="M304" s="348"/>
      <c r="N304" s="341"/>
      <c r="O304" s="1631"/>
      <c r="P304" s="1631"/>
      <c r="AH304" s="1638">
        <v>0</v>
      </c>
    </row>
    <row s="1642" customFormat="1" customHeight="1" ht="0.75" hidden="1">
      <c r="A305" s="1787"/>
      <c r="B305" s="1787"/>
      <c r="C305" s="376" t="s">
        <v>1316</v>
      </c>
      <c r="D305" s="2469"/>
      <c r="E305" s="2211"/>
      <c r="F305" s="2390"/>
      <c r="G305" s="407"/>
      <c r="H305" s="1507"/>
      <c r="I305" s="658"/>
      <c r="J305" s="578"/>
      <c r="K305" s="1507"/>
      <c r="L305" s="221"/>
      <c r="M305" s="348"/>
      <c r="N305" s="341"/>
      <c r="O305" s="1631"/>
      <c r="P305" s="1631"/>
      <c r="AH305" s="1638">
        <v>0</v>
      </c>
    </row>
    <row s="1642" customFormat="1" customHeight="1" ht="18.75" hidden="1">
      <c r="A306" s="1787" t="s">
        <v>403</v>
      </c>
      <c r="B306" s="1787" t="s">
        <v>404</v>
      </c>
      <c r="C306" s="376"/>
      <c r="D306" s="2469"/>
      <c r="E306" s="2211"/>
      <c r="F306" s="2390" t="str">
        <f>INDEX(PT_DIFFERENTIATION_VTAR,MATCH(A306,PT_DIFFERENTIATION_VTAR_ID,0))</f>
        <v>Тариф на подвоз воды</v>
      </c>
      <c r="G306" s="2434" t="str">
        <f>INDEX(PT_DIFFERENTIATION_NTAR,MATCH(B306,PT_DIFFERENTIATION_NTAR_ID,0))</f>
        <v/>
      </c>
      <c r="H306" s="1869"/>
      <c r="I306" s="1746"/>
      <c r="J306" s="1780"/>
      <c r="K306" s="1785"/>
      <c r="L306" s="1869" t="s">
        <v>469</v>
      </c>
      <c r="M306" s="348"/>
      <c r="N306" s="341"/>
      <c r="O306" s="1631"/>
      <c r="P306" s="1631"/>
      <c r="AH306" s="1638">
        <v>0</v>
      </c>
    </row>
    <row s="1642" customFormat="1" customHeight="1" ht="18.75" hidden="1">
      <c r="A307" s="1787"/>
      <c r="B307" s="1787"/>
      <c r="C307" s="376" t="s">
        <v>1307</v>
      </c>
      <c r="D307" s="2469"/>
      <c r="E307" s="2211"/>
      <c r="F307" s="2390"/>
      <c r="G307" s="2434"/>
      <c r="H307" s="1507"/>
      <c r="I307" s="658" t="s">
        <v>1306</v>
      </c>
      <c r="J307" s="578"/>
      <c r="K307" s="1507"/>
      <c r="L307" s="221"/>
      <c r="M307" s="348"/>
      <c r="N307" s="341"/>
      <c r="O307" s="1631"/>
      <c r="P307" s="1631"/>
      <c r="AH307" s="1638">
        <v>0</v>
      </c>
    </row>
    <row s="1642" customFormat="1" customHeight="1" ht="0.75" hidden="1">
      <c r="A308" s="1787"/>
      <c r="B308" s="1787"/>
      <c r="C308" s="376" t="s">
        <v>1316</v>
      </c>
      <c r="D308" s="2469"/>
      <c r="E308" s="2211"/>
      <c r="F308" s="2390"/>
      <c r="G308" s="407"/>
      <c r="H308" s="1507"/>
      <c r="I308" s="658"/>
      <c r="J308" s="578"/>
      <c r="K308" s="1507"/>
      <c r="L308" s="221"/>
      <c r="M308" s="348"/>
      <c r="N308" s="341"/>
      <c r="O308" s="1631"/>
      <c r="P308" s="1631"/>
      <c r="AH308" s="1638">
        <v>0</v>
      </c>
    </row>
    <row s="1642" customFormat="1" customHeight="1" ht="18.75" hidden="1">
      <c r="A309" s="1787" t="s">
        <v>408</v>
      </c>
      <c r="B309" s="1787" t="s">
        <v>409</v>
      </c>
      <c r="C309" s="376"/>
      <c r="D309" s="2469"/>
      <c r="E309" s="2211"/>
      <c r="F309" s="2390"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34" t="str">
        <f>INDEX(PT_DIFFERENTIATION_NTAR,MATCH(B309,PT_DIFFERENTIATION_NTAR_ID,0))</f>
        <v/>
      </c>
      <c r="H309" s="1869"/>
      <c r="I309" s="1746"/>
      <c r="J309" s="1780"/>
      <c r="K309" s="1785"/>
      <c r="L309" s="1869" t="s">
        <v>469</v>
      </c>
      <c r="M309" s="348"/>
      <c r="N309" s="341"/>
      <c r="O309" s="1631"/>
      <c r="P309" s="1631"/>
      <c r="AH309" s="1638">
        <v>0</v>
      </c>
    </row>
    <row s="1642" customFormat="1" customHeight="1" ht="18.75" hidden="1">
      <c r="A310" s="1787"/>
      <c r="B310" s="1787"/>
      <c r="C310" s="376" t="s">
        <v>1307</v>
      </c>
      <c r="D310" s="2469"/>
      <c r="E310" s="2211"/>
      <c r="F310" s="2390"/>
      <c r="G310" s="2434"/>
      <c r="H310" s="1507"/>
      <c r="I310" s="658" t="s">
        <v>1306</v>
      </c>
      <c r="J310" s="578"/>
      <c r="K310" s="1507"/>
      <c r="L310" s="221"/>
      <c r="M310" s="348"/>
      <c r="N310" s="341"/>
      <c r="O310" s="1631"/>
      <c r="P310" s="1631"/>
      <c r="AH310" s="1638">
        <v>0</v>
      </c>
    </row>
    <row s="1642" customFormat="1" customHeight="1" ht="0.75" hidden="1">
      <c r="A311" s="1787"/>
      <c r="B311" s="1787"/>
      <c r="C311" s="376" t="s">
        <v>1316</v>
      </c>
      <c r="D311" s="2469"/>
      <c r="E311" s="2211"/>
      <c r="F311" s="2390"/>
      <c r="G311" s="407"/>
      <c r="H311" s="1507"/>
      <c r="I311" s="658"/>
      <c r="J311" s="578"/>
      <c r="K311" s="1507"/>
      <c r="L311" s="221"/>
      <c r="M311" s="348"/>
      <c r="N311" s="341"/>
      <c r="O311" s="1631"/>
      <c r="P311" s="1631"/>
      <c r="AH311" s="1638">
        <v>0</v>
      </c>
    </row>
    <row s="1642" customFormat="1" customHeight="1" ht="18.75" hidden="1">
      <c r="A312" s="1787" t="s">
        <v>413</v>
      </c>
      <c r="B312" s="1787" t="s">
        <v>414</v>
      </c>
      <c r="C312" s="376"/>
      <c r="D312" s="2469"/>
      <c r="E312" s="2211"/>
      <c r="F312" s="2390" t="str">
        <f>INDEX(PT_DIFFERENTIATION_VTAR,MATCH(A312,PT_DIFFERENTIATION_VTAR_ID,0))</f>
        <v>Тариф на горячую воду (горячее водоснабжение)</v>
      </c>
      <c r="G312" s="2434" t="str">
        <f>INDEX(PT_DIFFERENTIATION_NTAR,MATCH(B312,PT_DIFFERENTIATION_NTAR_ID,0))</f>
        <v/>
      </c>
      <c r="H312" s="1869"/>
      <c r="I312" s="1746"/>
      <c r="J312" s="1780"/>
      <c r="K312" s="1785"/>
      <c r="L312" s="1869" t="s">
        <v>469</v>
      </c>
      <c r="M312" s="348"/>
      <c r="N312" s="341"/>
      <c r="O312" s="1631"/>
      <c r="P312" s="1631"/>
      <c r="AH312" s="1638">
        <v>0</v>
      </c>
    </row>
    <row s="1642" customFormat="1" customHeight="1" ht="18.75" hidden="1">
      <c r="A313" s="1787"/>
      <c r="B313" s="1787"/>
      <c r="C313" s="376" t="s">
        <v>1307</v>
      </c>
      <c r="D313" s="2469"/>
      <c r="E313" s="2211"/>
      <c r="F313" s="2390"/>
      <c r="G313" s="2434"/>
      <c r="H313" s="1507"/>
      <c r="I313" s="658" t="s">
        <v>1306</v>
      </c>
      <c r="J313" s="578"/>
      <c r="K313" s="1507"/>
      <c r="L313" s="221"/>
      <c r="M313" s="348"/>
      <c r="N313" s="341"/>
      <c r="O313" s="1631"/>
      <c r="P313" s="1631"/>
      <c r="AH313" s="1638">
        <v>0</v>
      </c>
    </row>
    <row s="1642" customFormat="1" customHeight="1" ht="0.75" hidden="1">
      <c r="A314" s="1787"/>
      <c r="B314" s="1787"/>
      <c r="C314" s="376" t="s">
        <v>1316</v>
      </c>
      <c r="D314" s="2469"/>
      <c r="E314" s="2211"/>
      <c r="F314" s="2390"/>
      <c r="G314" s="407"/>
      <c r="H314" s="1507"/>
      <c r="I314" s="658"/>
      <c r="J314" s="578"/>
      <c r="K314" s="1507"/>
      <c r="L314" s="221"/>
      <c r="M314" s="348"/>
      <c r="N314" s="341"/>
      <c r="O314" s="1631"/>
      <c r="P314" s="1631"/>
      <c r="AH314" s="1638">
        <v>0</v>
      </c>
    </row>
    <row s="1642" customFormat="1" customHeight="1" ht="18.75" hidden="1">
      <c r="A315" s="1787" t="s">
        <v>418</v>
      </c>
      <c r="B315" s="1787" t="s">
        <v>419</v>
      </c>
      <c r="C315" s="376"/>
      <c r="D315" s="2469"/>
      <c r="E315" s="2211"/>
      <c r="F315" s="2390" t="str">
        <f>INDEX(PT_DIFFERENTIATION_VTAR,MATCH(A315,PT_DIFFERENTIATION_VTAR_ID,0))</f>
        <v>Тариф на транспортировку горячей воды</v>
      </c>
      <c r="G315" s="2434" t="str">
        <f>INDEX(PT_DIFFERENTIATION_NTAR,MATCH(B315,PT_DIFFERENTIATION_NTAR_ID,0))</f>
        <v/>
      </c>
      <c r="H315" s="1869"/>
      <c r="I315" s="1746"/>
      <c r="J315" s="1780"/>
      <c r="K315" s="1785"/>
      <c r="L315" s="1869" t="s">
        <v>469</v>
      </c>
      <c r="M315" s="348"/>
      <c r="N315" s="341"/>
      <c r="O315" s="1631"/>
      <c r="P315" s="1631"/>
      <c r="AH315" s="1638">
        <v>0</v>
      </c>
    </row>
    <row s="1642" customFormat="1" customHeight="1" ht="18.75" hidden="1">
      <c r="A316" s="1787"/>
      <c r="B316" s="1787"/>
      <c r="C316" s="376" t="s">
        <v>1307</v>
      </c>
      <c r="D316" s="2469"/>
      <c r="E316" s="2211"/>
      <c r="F316" s="2390"/>
      <c r="G316" s="2434"/>
      <c r="H316" s="1507"/>
      <c r="I316" s="658" t="s">
        <v>1306</v>
      </c>
      <c r="J316" s="578"/>
      <c r="K316" s="1507"/>
      <c r="L316" s="221"/>
      <c r="M316" s="348"/>
      <c r="N316" s="341"/>
      <c r="O316" s="1631"/>
      <c r="P316" s="1631"/>
      <c r="AH316" s="1638">
        <v>0</v>
      </c>
    </row>
    <row s="1642" customFormat="1" customHeight="1" ht="0.75" hidden="1">
      <c r="A317" s="1787"/>
      <c r="B317" s="1787"/>
      <c r="C317" s="376" t="s">
        <v>1316</v>
      </c>
      <c r="D317" s="2469"/>
      <c r="E317" s="2211"/>
      <c r="F317" s="2390"/>
      <c r="G317" s="407"/>
      <c r="H317" s="1507"/>
      <c r="I317" s="658"/>
      <c r="J317" s="578"/>
      <c r="K317" s="1507"/>
      <c r="L317" s="221"/>
      <c r="M317" s="348"/>
      <c r="N317" s="341"/>
      <c r="O317" s="1631"/>
      <c r="P317" s="1631"/>
      <c r="AH317" s="1638">
        <v>0</v>
      </c>
    </row>
    <row s="1642" customFormat="1" customHeight="1" ht="18.75" hidden="1">
      <c r="A318" s="1787" t="s">
        <v>423</v>
      </c>
      <c r="B318" s="1787" t="s">
        <v>424</v>
      </c>
      <c r="C318" s="376"/>
      <c r="D318" s="2469"/>
      <c r="E318" s="2211"/>
      <c r="F318" s="2390"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34" t="str">
        <f>INDEX(PT_DIFFERENTIATION_NTAR,MATCH(B318,PT_DIFFERENTIATION_NTAR_ID,0))</f>
        <v/>
      </c>
      <c r="H318" s="1869"/>
      <c r="I318" s="1746"/>
      <c r="J318" s="1780"/>
      <c r="K318" s="1785"/>
      <c r="L318" s="1869" t="s">
        <v>469</v>
      </c>
      <c r="M318" s="348"/>
      <c r="N318" s="341"/>
      <c r="O318" s="1631"/>
      <c r="P318" s="1631"/>
      <c r="AH318" s="1638">
        <v>0</v>
      </c>
    </row>
    <row s="1642" customFormat="1" customHeight="1" ht="18.75" hidden="1">
      <c r="A319" s="1787"/>
      <c r="B319" s="1787"/>
      <c r="C319" s="376" t="s">
        <v>1307</v>
      </c>
      <c r="D319" s="2469"/>
      <c r="E319" s="2211"/>
      <c r="F319" s="2390"/>
      <c r="G319" s="2434"/>
      <c r="H319" s="1507"/>
      <c r="I319" s="658" t="s">
        <v>1306</v>
      </c>
      <c r="J319" s="578"/>
      <c r="K319" s="1507"/>
      <c r="L319" s="221"/>
      <c r="M319" s="348"/>
      <c r="N319" s="341"/>
      <c r="O319" s="1631"/>
      <c r="P319" s="1631"/>
      <c r="AH319" s="1638">
        <v>0</v>
      </c>
    </row>
    <row s="1642" customFormat="1" customHeight="1" ht="0.75" hidden="1">
      <c r="A320" s="1787"/>
      <c r="B320" s="1787"/>
      <c r="C320" s="376" t="s">
        <v>1316</v>
      </c>
      <c r="D320" s="2469"/>
      <c r="E320" s="2211"/>
      <c r="F320" s="2390"/>
      <c r="G320" s="407"/>
      <c r="H320" s="1507"/>
      <c r="I320" s="658"/>
      <c r="J320" s="578"/>
      <c r="K320" s="1507"/>
      <c r="L320" s="221"/>
      <c r="M320" s="348"/>
      <c r="N320" s="341"/>
      <c r="O320" s="1631"/>
      <c r="P320" s="1631"/>
      <c r="AH320" s="1638">
        <v>0</v>
      </c>
    </row>
    <row s="1642" customFormat="1" customHeight="1" ht="18.75" hidden="1">
      <c r="A321" s="1787" t="s">
        <v>428</v>
      </c>
      <c r="B321" s="1787" t="s">
        <v>429</v>
      </c>
      <c r="C321" s="376"/>
      <c r="D321" s="2469"/>
      <c r="E321" s="2211"/>
      <c r="F321" s="2390" t="str">
        <f>INDEX(PT_DIFFERENTIATION_VTAR,MATCH(A321,PT_DIFFERENTIATION_VTAR_ID,0))</f>
        <v>Тариф на водоотведение</v>
      </c>
      <c r="G321" s="2434" t="str">
        <f>INDEX(PT_DIFFERENTIATION_NTAR,MATCH(B321,PT_DIFFERENTIATION_NTAR_ID,0))</f>
        <v/>
      </c>
      <c r="H321" s="1869"/>
      <c r="I321" s="1746"/>
      <c r="J321" s="1780"/>
      <c r="K321" s="1785"/>
      <c r="L321" s="1869" t="s">
        <v>469</v>
      </c>
      <c r="M321" s="348"/>
      <c r="N321" s="341"/>
      <c r="O321" s="1631"/>
      <c r="P321" s="1631"/>
      <c r="AH321" s="1638">
        <v>0</v>
      </c>
    </row>
    <row s="1642" customFormat="1" customHeight="1" ht="18.75" hidden="1">
      <c r="A322" s="1787"/>
      <c r="B322" s="1787"/>
      <c r="C322" s="376" t="s">
        <v>1307</v>
      </c>
      <c r="D322" s="2469"/>
      <c r="E322" s="2211"/>
      <c r="F322" s="2390"/>
      <c r="G322" s="2434"/>
      <c r="H322" s="1507"/>
      <c r="I322" s="658" t="s">
        <v>1306</v>
      </c>
      <c r="J322" s="578"/>
      <c r="K322" s="1507"/>
      <c r="L322" s="221"/>
      <c r="M322" s="348"/>
      <c r="N322" s="341"/>
      <c r="O322" s="1631"/>
      <c r="P322" s="1631"/>
      <c r="AH322" s="1638">
        <v>0</v>
      </c>
    </row>
    <row s="1642" customFormat="1" customHeight="1" ht="0.75" hidden="1">
      <c r="A323" s="1787"/>
      <c r="B323" s="1787"/>
      <c r="C323" s="376" t="s">
        <v>1316</v>
      </c>
      <c r="D323" s="2469"/>
      <c r="E323" s="2211"/>
      <c r="F323" s="2390"/>
      <c r="G323" s="407"/>
      <c r="H323" s="1507"/>
      <c r="I323" s="658"/>
      <c r="J323" s="578"/>
      <c r="K323" s="1507"/>
      <c r="L323" s="221"/>
      <c r="M323" s="348"/>
      <c r="N323" s="341"/>
      <c r="O323" s="1631"/>
      <c r="P323" s="1631"/>
      <c r="AH323" s="1638">
        <v>0</v>
      </c>
    </row>
    <row s="1642" customFormat="1" customHeight="1" ht="18.75" hidden="1">
      <c r="A324" s="1787" t="s">
        <v>433</v>
      </c>
      <c r="B324" s="1787" t="s">
        <v>434</v>
      </c>
      <c r="C324" s="376"/>
      <c r="D324" s="2469"/>
      <c r="E324" s="2211"/>
      <c r="F324" s="2390" t="str">
        <f>INDEX(PT_DIFFERENTIATION_VTAR,MATCH(A324,PT_DIFFERENTIATION_VTAR_ID,0))</f>
        <v>Тариф на транспортировку сточных вод</v>
      </c>
      <c r="G324" s="2434" t="str">
        <f>INDEX(PT_DIFFERENTIATION_NTAR,MATCH(B324,PT_DIFFERENTIATION_NTAR_ID,0))</f>
        <v/>
      </c>
      <c r="H324" s="1869"/>
      <c r="I324" s="1746"/>
      <c r="J324" s="1780"/>
      <c r="K324" s="1785"/>
      <c r="L324" s="1869" t="s">
        <v>469</v>
      </c>
      <c r="M324" s="348"/>
      <c r="N324" s="341"/>
      <c r="O324" s="1631"/>
      <c r="P324" s="1631"/>
      <c r="AH324" s="1638">
        <v>0</v>
      </c>
    </row>
    <row s="1642" customFormat="1" customHeight="1" ht="18.75" hidden="1">
      <c r="A325" s="1787"/>
      <c r="B325" s="1787"/>
      <c r="C325" s="376" t="s">
        <v>1307</v>
      </c>
      <c r="D325" s="2469"/>
      <c r="E325" s="2211"/>
      <c r="F325" s="2390"/>
      <c r="G325" s="2434"/>
      <c r="H325" s="1507"/>
      <c r="I325" s="658" t="s">
        <v>1306</v>
      </c>
      <c r="J325" s="578"/>
      <c r="K325" s="1507"/>
      <c r="L325" s="221"/>
      <c r="M325" s="348"/>
      <c r="N325" s="341"/>
      <c r="O325" s="1631"/>
      <c r="P325" s="1631"/>
      <c r="AH325" s="1638">
        <v>0</v>
      </c>
    </row>
    <row s="1642" customFormat="1" customHeight="1" ht="0.75" hidden="1">
      <c r="A326" s="1787"/>
      <c r="B326" s="1787"/>
      <c r="C326" s="376" t="s">
        <v>1316</v>
      </c>
      <c r="D326" s="2469"/>
      <c r="E326" s="2211"/>
      <c r="F326" s="2390"/>
      <c r="G326" s="407"/>
      <c r="H326" s="1507"/>
      <c r="I326" s="658"/>
      <c r="J326" s="578"/>
      <c r="K326" s="1507"/>
      <c r="L326" s="221"/>
      <c r="M326" s="348"/>
      <c r="N326" s="341"/>
      <c r="O326" s="1631"/>
      <c r="P326" s="1631"/>
      <c r="AH326" s="1638">
        <v>0</v>
      </c>
    </row>
    <row s="1642" customFormat="1" customHeight="1" ht="18.75" hidden="1">
      <c r="A327" s="1787" t="s">
        <v>438</v>
      </c>
      <c r="B327" s="1787" t="s">
        <v>439</v>
      </c>
      <c r="C327" s="376"/>
      <c r="D327" s="2469"/>
      <c r="E327" s="2211"/>
      <c r="F327" s="2390" t="str">
        <f>INDEX(PT_DIFFERENTIATION_VTAR,MATCH(A327,PT_DIFFERENTIATION_VTAR_ID,0))</f>
        <v>Тариф на подключение (технологическое присоединение) к централизованной системе водоотведения</v>
      </c>
      <c r="G327" s="2434" t="str">
        <f>INDEX(PT_DIFFERENTIATION_NTAR,MATCH(B327,PT_DIFFERENTIATION_NTAR_ID,0))</f>
        <v/>
      </c>
      <c r="H327" s="1869"/>
      <c r="I327" s="1746"/>
      <c r="J327" s="1780"/>
      <c r="K327" s="1785"/>
      <c r="L327" s="1869" t="s">
        <v>469</v>
      </c>
      <c r="M327" s="348"/>
      <c r="N327" s="341"/>
      <c r="O327" s="1631"/>
      <c r="P327" s="1631"/>
      <c r="AH327" s="1638">
        <v>0</v>
      </c>
    </row>
    <row s="1642" customFormat="1" customHeight="1" ht="18.75" hidden="1">
      <c r="A328" s="1787"/>
      <c r="B328" s="1787"/>
      <c r="C328" s="376" t="s">
        <v>1307</v>
      </c>
      <c r="D328" s="2469"/>
      <c r="E328" s="2211"/>
      <c r="F328" s="2390"/>
      <c r="G328" s="2434"/>
      <c r="H328" s="1507"/>
      <c r="I328" s="658" t="s">
        <v>1306</v>
      </c>
      <c r="J328" s="578"/>
      <c r="K328" s="1507"/>
      <c r="L328" s="221"/>
      <c r="M328" s="348"/>
      <c r="N328" s="341"/>
      <c r="O328" s="1631"/>
      <c r="P328" s="1631"/>
      <c r="AH328" s="1638">
        <v>0</v>
      </c>
    </row>
    <row s="1642" customFormat="1" customHeight="1" ht="1.05">
      <c r="A329" s="1787"/>
      <c r="B329" s="1787"/>
      <c r="C329" s="376" t="s">
        <v>1316</v>
      </c>
      <c r="D329" s="2469"/>
      <c r="E329" s="2211"/>
      <c r="F329" s="2390"/>
      <c r="G329" s="407"/>
      <c r="H329" s="1507"/>
      <c r="I329" s="658"/>
      <c r="J329" s="578"/>
      <c r="K329" s="1507"/>
      <c r="L329" s="221"/>
      <c r="M329" s="348"/>
      <c r="N329" s="341"/>
      <c r="O329" s="1631"/>
      <c r="P329" s="1631"/>
      <c r="AH329" s="1638">
        <v>1</v>
      </c>
    </row>
    <row s="1830" customFormat="1" customHeight="1" ht="3">
      <c r="A330" s="1787"/>
      <c r="B330" s="1787"/>
      <c r="C330" s="1788"/>
      <c r="E330" s="409"/>
      <c r="F330" s="409"/>
      <c r="G330" s="409"/>
      <c r="H330" s="409"/>
      <c r="I330" s="409"/>
      <c r="J330" s="409"/>
      <c r="K330" s="409"/>
      <c r="L330" s="409"/>
      <c r="M330" s="409"/>
      <c r="O330" s="203"/>
      <c r="P330" s="203"/>
      <c r="AH330" s="147">
        <v>3</v>
      </c>
    </row>
    <row customHeight="1" ht="26.25">
      <c r="E331" s="209"/>
      <c r="F331" s="2292"/>
      <c r="G331" s="2292"/>
      <c r="H331" s="2292"/>
      <c r="I331" s="2292"/>
      <c r="J331" s="2292"/>
      <c r="K331" s="2292"/>
      <c r="L331" s="2292"/>
      <c r="M331" s="2292"/>
      <c r="AH331" s="381">
        <v>25</v>
      </c>
    </row>
    <row customHeight="1" ht="14.25" hidden="1">
      <c r="A332" s="1786" t="s">
        <v>82</v>
      </c>
      <c r="B332" s="1786">
        <v>0</v>
      </c>
      <c r="C332" s="376">
        <v>0</v>
      </c>
      <c r="D332" s="351">
        <v>3</v>
      </c>
      <c r="E332" s="381">
        <v>6</v>
      </c>
      <c r="F332" s="381">
        <v>46</v>
      </c>
      <c r="G332" s="381">
        <v>35</v>
      </c>
      <c r="H332" s="381">
        <v>3</v>
      </c>
      <c r="I332" s="381">
        <v>11</v>
      </c>
      <c r="J332" s="381">
        <v>11</v>
      </c>
      <c r="K332" s="381">
        <v>35</v>
      </c>
      <c r="L332" s="381">
        <v>35</v>
      </c>
      <c r="M332" s="381">
        <v>84</v>
      </c>
      <c r="N332" s="381">
        <v>10</v>
      </c>
      <c r="O332" s="357">
        <v>10</v>
      </c>
      <c r="P332" s="357">
        <v>10</v>
      </c>
      <c r="Q332" s="381">
        <v>10</v>
      </c>
      <c r="R332" s="381">
        <v>10</v>
      </c>
      <c r="S332" s="381">
        <v>10</v>
      </c>
      <c r="T332" s="381">
        <v>10</v>
      </c>
      <c r="U332" s="381">
        <v>10</v>
      </c>
      <c r="V332" s="381">
        <v>10</v>
      </c>
      <c r="W332" s="381">
        <v>10</v>
      </c>
      <c r="X332" s="381">
        <v>10</v>
      </c>
      <c r="Y332" s="381">
        <v>10</v>
      </c>
      <c r="Z332" s="381">
        <v>10</v>
      </c>
      <c r="AA332" s="381">
        <v>10</v>
      </c>
      <c r="AB332" s="381">
        <v>10</v>
      </c>
      <c r="AC332" s="381">
        <v>10</v>
      </c>
      <c r="AD332" s="381">
        <v>10</v>
      </c>
      <c r="AE332" s="381">
        <v>10</v>
      </c>
      <c r="AF332" s="381">
        <v>10</v>
      </c>
      <c r="AG332" s="381">
        <v>10</v>
      </c>
      <c r="AH332" s="381">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43528B-D857-4C9F-5F63-3D39BA3F223E}"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C10" sqref="A10:R13"/>
    </sheetView>
  </sheetViews>
  <sheetFormatPr defaultColWidth="10.57421875" customHeight="1" defaultRowHeight="14.25"/>
  <cols>
    <col min="1" max="1" style="2404" width="9.140625" hidden="1" customWidth="1"/>
    <col min="2" max="2" style="1373" width="9.140625" hidden="1" customWidth="1"/>
    <col min="3" max="3" style="351" width="3.00390625" customWidth="1"/>
    <col min="4" max="4" style="1642" width="6.00390625" customWidth="1"/>
    <col min="5" max="5" style="1642" width="53.00390625" customWidth="1"/>
    <col min="6" max="7" style="1642" width="35.00390625" customWidth="1"/>
    <col min="8" max="8" style="1642" width="89.00390625" customWidth="1"/>
    <col min="9" max="9" style="1642" width="10.00390625" customWidth="1"/>
    <col min="10" max="11" style="1631" width="10.00390625" customWidth="1"/>
    <col min="12" max="17" style="1642" width="10.00390625" customWidth="1"/>
    <col min="18" max="18" style="1642" width="10.57421875" hidden="1"/>
  </cols>
  <sheetData>
    <row customHeight="1" ht="22.5" hidden="1">
      <c r="N1" s="262"/>
      <c r="O1" s="262"/>
      <c r="Q1" s="262"/>
      <c r="R1" s="381" t="s">
        <v>14</v>
      </c>
    </row>
    <row s="1642" customFormat="1" customHeight="1" ht="18.75" hidden="1">
      <c r="A2" s="109"/>
      <c r="B2" s="1167"/>
      <c r="C2" s="1737" t="s">
        <v>102</v>
      </c>
      <c r="D2" s="1680"/>
      <c r="E2" s="1689"/>
      <c r="F2" s="264"/>
      <c r="G2" s="1168"/>
      <c r="H2" s="381"/>
      <c r="I2" s="1631"/>
      <c r="J2" s="1631"/>
      <c r="R2" s="1638">
        <v>0</v>
      </c>
    </row>
    <row customHeight="1" ht="14.25" hidden="1">
      <c r="R3" s="381">
        <v>0</v>
      </c>
    </row>
    <row customHeight="1" ht="6.3">
      <c r="C4" s="383"/>
      <c r="D4" s="370"/>
      <c r="E4" s="370"/>
      <c r="F4" s="370"/>
      <c r="G4" s="92"/>
      <c r="H4" s="92"/>
      <c r="R4" s="381">
        <v>6</v>
      </c>
    </row>
    <row customHeight="1" ht="34.5">
      <c r="C5" s="383"/>
      <c r="D5" s="2461"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62"/>
      <c r="F5" s="2462"/>
      <c r="G5" s="2463"/>
      <c r="H5" s="273"/>
      <c r="R5" s="381">
        <v>33</v>
      </c>
    </row>
    <row s="1642" customFormat="1" customHeight="1" ht="18">
      <c r="A6" s="1676"/>
      <c r="B6" s="1167"/>
      <c r="C6" s="383"/>
      <c r="D6" s="2464" t="str">
        <f>IF(org=0,"Не определено",org)</f>
        <v>ГУП "Белоблводоканал"</v>
      </c>
      <c r="E6" s="2465"/>
      <c r="F6" s="2465"/>
      <c r="G6" s="2466"/>
      <c r="H6" s="273"/>
      <c r="J6" s="1631"/>
      <c r="K6" s="1631"/>
      <c r="R6" s="1638">
        <v>17</v>
      </c>
    </row>
    <row customHeight="1" ht="14.699999999999998">
      <c r="C7" s="383"/>
      <c r="D7" s="370"/>
      <c r="E7" s="396"/>
      <c r="F7" s="396"/>
      <c r="G7" s="759"/>
      <c r="H7" s="200"/>
      <c r="R7" s="381">
        <v>14</v>
      </c>
    </row>
    <row customHeight="1" ht="14.699999999999998">
      <c r="C8" s="383"/>
      <c r="D8" s="2216" t="s">
        <v>463</v>
      </c>
      <c r="E8" s="2216"/>
      <c r="F8" s="2216"/>
      <c r="G8" s="2216"/>
      <c r="H8" s="2396" t="s">
        <v>464</v>
      </c>
      <c r="R8" s="381">
        <v>14</v>
      </c>
    </row>
    <row customHeight="1" ht="24">
      <c r="C9" s="383"/>
      <c r="D9" s="393" t="s">
        <v>88</v>
      </c>
      <c r="E9" s="115" t="s">
        <v>465</v>
      </c>
      <c r="F9" s="115" t="s">
        <v>466</v>
      </c>
      <c r="G9" s="115" t="s">
        <v>553</v>
      </c>
      <c r="H9" s="2396"/>
      <c r="R9" s="381">
        <v>23</v>
      </c>
    </row>
    <row customHeight="1" ht="27.75">
      <c r="A10" s="350"/>
      <c r="C10" s="383"/>
      <c r="D10" s="154" t="s">
        <v>108</v>
      </c>
      <c r="E10" s="1893"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64" t="s">
        <v>1317</v>
      </c>
      <c r="G10" s="220" t="s">
        <v>1318</v>
      </c>
      <c r="H10" s="2176" t="s">
        <v>1319</v>
      </c>
      <c r="R10" s="381">
        <v>14</v>
      </c>
    </row>
    <row customHeight="1" ht="27.75">
      <c r="A11" s="350"/>
      <c r="C11" s="383"/>
      <c r="D11" s="154" t="s">
        <v>99</v>
      </c>
      <c r="E11" s="1893"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64" t="s">
        <v>1317</v>
      </c>
      <c r="G11" s="220" t="s">
        <v>1318</v>
      </c>
      <c r="H11" s="2177"/>
      <c r="R11" s="381">
        <v>14</v>
      </c>
    </row>
    <row customHeight="1" ht="27.75">
      <c r="A12" s="109"/>
      <c r="C12" s="394"/>
      <c r="D12" s="154" t="s">
        <v>90</v>
      </c>
      <c r="E12" s="395" t="str">
        <f>"Сведения о планировании закупочных процедур"&amp;IF(TEMPLATE_SPHERE="TKO"," &lt;1&gt;","")</f>
        <v>Сведения о планировании закупочных процедур</v>
      </c>
      <c r="F12" s="264" t="s">
        <v>1317</v>
      </c>
      <c r="G12" s="220" t="s">
        <v>1318</v>
      </c>
      <c r="H12" s="217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7"/>
      <c r="K12" s="381"/>
      <c r="R12" s="381">
        <v>14</v>
      </c>
    </row>
    <row customHeight="1" ht="27.75">
      <c r="A13" s="109"/>
      <c r="C13" s="394"/>
      <c r="D13" s="154" t="s">
        <v>91</v>
      </c>
      <c r="E13" s="395" t="str">
        <f>"Сведения о результатах проведения закупочных процедур"&amp;IF(TEMPLATE_SPHERE="TKO"," &lt;1&gt;","")</f>
        <v>Сведения о результатах проведения закупочных процедур</v>
      </c>
      <c r="F13" s="264" t="s">
        <v>1317</v>
      </c>
      <c r="G13" s="220" t="s">
        <v>1318</v>
      </c>
      <c r="H13" s="2177"/>
      <c r="I13" s="357"/>
      <c r="K13" s="381"/>
      <c r="R13" s="381">
        <v>14</v>
      </c>
    </row>
    <row customHeight="1" ht="14.699999999999998">
      <c r="A14" s="350"/>
      <c r="C14" s="383"/>
      <c r="D14" s="354"/>
      <c r="E14" s="402" t="s">
        <v>485</v>
      </c>
      <c r="F14" s="356"/>
      <c r="G14" s="208"/>
      <c r="H14" s="2178"/>
      <c r="R14" s="381">
        <v>14</v>
      </c>
    </row>
    <row s="1642" customFormat="1" customHeight="1" ht="14.699999999999998">
      <c r="A15" s="350"/>
      <c r="B15" s="1167"/>
      <c r="C15" s="383"/>
      <c r="D15" s="403"/>
      <c r="E15" s="1684"/>
      <c r="F15" s="1685"/>
      <c r="G15" s="1686"/>
      <c r="H15" s="1687"/>
      <c r="J15" s="1631"/>
      <c r="K15" s="1631"/>
      <c r="R15" s="1638">
        <v>14</v>
      </c>
    </row>
    <row customHeight="1" ht="14.699999999999998">
      <c r="D16" s="1688"/>
      <c r="E16" s="2392"/>
      <c r="F16" s="2392"/>
      <c r="G16" s="2392"/>
      <c r="H16" s="2392"/>
      <c r="R16" s="381">
        <v>14</v>
      </c>
    </row>
    <row customHeight="1" ht="22.5" hidden="1">
      <c r="A17" s="371" t="s">
        <v>82</v>
      </c>
      <c r="B17" s="153">
        <v>0</v>
      </c>
      <c r="C17" s="351">
        <v>3</v>
      </c>
      <c r="D17" s="381">
        <v>6</v>
      </c>
      <c r="E17" s="381">
        <v>53</v>
      </c>
      <c r="F17" s="381">
        <v>35</v>
      </c>
      <c r="G17" s="381">
        <v>35</v>
      </c>
      <c r="H17" s="381">
        <v>89</v>
      </c>
      <c r="I17" s="381">
        <v>10</v>
      </c>
      <c r="J17" s="357">
        <v>10</v>
      </c>
      <c r="K17" s="357">
        <v>10</v>
      </c>
      <c r="L17" s="381">
        <v>10</v>
      </c>
      <c r="M17" s="381">
        <v>10</v>
      </c>
      <c r="N17" s="381">
        <v>10</v>
      </c>
      <c r="O17" s="381">
        <v>10</v>
      </c>
      <c r="P17" s="381">
        <v>10</v>
      </c>
      <c r="Q17" s="381">
        <v>10</v>
      </c>
      <c r="R17" s="381">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044B9A-07DE-D36C-8656-3F313328BD19}"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9" width="9.140625" hidden="1" customWidth="1"/>
    <col min="2" max="2" style="1642" width="9.140625" hidden="1" customWidth="1"/>
    <col min="3" max="3" style="690" width="4.00390625" customWidth="1"/>
    <col min="4" max="4" style="1642" width="6.00390625" customWidth="1"/>
    <col min="5" max="5" style="1642" width="47.00390625" customWidth="1"/>
    <col min="6" max="6" style="1642" width="9.00390625" customWidth="1"/>
    <col min="7" max="7" style="1642" width="25.7109375" hidden="1" customWidth="1"/>
    <col min="8" max="8" style="1642" width="34.00390625" hidden="1" customWidth="1"/>
    <col min="9" max="9" style="1642" width="25.7109375" customWidth="1"/>
    <col min="10" max="10" style="1642" width="33.00390625" customWidth="1"/>
    <col min="11" max="11" style="1373" width="50.00390625" customWidth="1"/>
    <col min="12" max="20" style="1642" width="10.00390625" customWidth="1"/>
    <col min="21" max="21" style="682" width="10.00390625" customWidth="1"/>
    <col min="22" max="22" style="1642" width="10.57421875" hidden="1"/>
  </cols>
  <sheetData>
    <row s="1373" customFormat="1" customHeight="1" ht="22.5" hidden="1">
      <c r="C1" s="679"/>
      <c r="G1" s="424">
        <v>4</v>
      </c>
      <c r="I1" s="424">
        <v>4</v>
      </c>
      <c r="U1" s="427"/>
      <c r="V1" s="424" t="s">
        <v>14</v>
      </c>
    </row>
    <row s="1642" customFormat="1" customHeight="1" ht="15" hidden="1">
      <c r="A2" s="369"/>
      <c r="C2" s="183"/>
      <c r="D2" s="353"/>
      <c r="E2" s="680"/>
      <c r="F2" s="529"/>
      <c r="G2" s="623"/>
      <c r="H2" s="623"/>
      <c r="I2" s="623"/>
      <c r="J2" s="623"/>
      <c r="U2" s="681"/>
      <c r="V2" s="516">
        <v>0</v>
      </c>
    </row>
    <row s="1373" customFormat="1" customHeight="1" ht="15" hidden="1">
      <c r="C3" s="679"/>
      <c r="U3" s="427"/>
      <c r="V3" s="424">
        <v>0</v>
      </c>
    </row>
    <row customHeight="1" ht="15.75">
      <c r="C4" s="183"/>
      <c r="D4" s="516"/>
      <c r="E4" s="516"/>
      <c r="F4" s="516"/>
      <c r="G4" s="516"/>
      <c r="H4" s="516"/>
      <c r="I4" s="516"/>
      <c r="J4" s="516"/>
      <c r="V4" s="512">
        <v>15</v>
      </c>
    </row>
    <row customHeight="1" ht="66">
      <c r="C5" s="183"/>
      <c r="D5" s="2244" t="s">
        <v>1320</v>
      </c>
      <c r="E5" s="2244"/>
      <c r="F5" s="2244"/>
      <c r="G5" s="2244"/>
      <c r="H5" s="2244"/>
      <c r="I5" s="2244"/>
      <c r="J5" s="2244"/>
      <c r="V5" s="512">
        <v>63</v>
      </c>
    </row>
    <row customHeight="1" ht="15.75">
      <c r="C6" s="183"/>
      <c r="D6" s="2183" t="str">
        <f>IF(org=0,"Не определено",org)</f>
        <v>ГУП "Белоблводоканал"</v>
      </c>
      <c r="E6" s="2183"/>
      <c r="F6" s="2183"/>
      <c r="G6" s="2183"/>
      <c r="H6" s="2183"/>
      <c r="I6" s="2183"/>
      <c r="J6" s="2183"/>
      <c r="K6" s="544"/>
      <c r="V6" s="512">
        <v>15</v>
      </c>
    </row>
    <row customHeight="1" ht="15.75">
      <c r="C7" s="183"/>
      <c r="D7" s="759"/>
      <c r="E7" s="516"/>
      <c r="F7" s="516"/>
      <c r="G7" s="544">
        <v>22</v>
      </c>
      <c r="I7" s="544">
        <v>1</v>
      </c>
      <c r="J7" s="759"/>
      <c r="V7" s="512">
        <v>15</v>
      </c>
    </row>
    <row s="1642" customFormat="1" customHeight="1" ht="1.05">
      <c r="A8" s="766"/>
      <c r="C8" s="183"/>
      <c r="D8" s="516"/>
      <c r="E8" s="516"/>
      <c r="F8" s="516"/>
      <c r="G8" s="544"/>
      <c r="H8" s="759"/>
      <c r="I8" s="544" t="s">
        <v>209</v>
      </c>
      <c r="J8" s="759"/>
      <c r="K8" s="424"/>
      <c r="U8" s="682"/>
      <c r="V8" s="765">
        <v>1</v>
      </c>
    </row>
    <row customHeight="1" ht="15.75">
      <c r="C9" s="183"/>
      <c r="D9" s="718"/>
      <c r="E9" s="2374" t="s">
        <v>201</v>
      </c>
      <c r="F9" s="2375"/>
      <c r="G9" s="2402" t="str">
        <f>IF(G8="","",INDEX(DIFFERENTIATION_UNMERGE_VD,MATCH(G8,DIFFERENTIATION_ID_DIFF,0)))</f>
        <v/>
      </c>
      <c r="H9" s="2403"/>
      <c r="I9" s="2402">
        <f>IF(I8="","",INDEX(DIFFERENTIATION_UNMERGE_VD,MATCH(I8,DIFFERENTIATION_ID_DIFF,0)))</f>
        <v>0</v>
      </c>
      <c r="J9" s="2403"/>
      <c r="K9" s="2182" t="s">
        <v>464</v>
      </c>
      <c r="V9" s="512">
        <v>15</v>
      </c>
    </row>
    <row s="1642" customFormat="1" customHeight="1" ht="15.75">
      <c r="A10" s="766"/>
      <c r="C10" s="183"/>
      <c r="D10" s="718"/>
      <c r="E10" s="2374" t="s">
        <v>726</v>
      </c>
      <c r="F10" s="2375"/>
      <c r="G10" s="2402" t="str">
        <f>IF(G8="","",INDEX(DIFFERENTIATION_UNMERGE_AREA,MATCH(G8,DIFFERENTIATION_ID_DIFF,0)))</f>
        <v/>
      </c>
      <c r="H10" s="2403"/>
      <c r="I10" s="2402" t="str">
        <f>IF(I8="","",INDEX(DIFFERENTIATION_UNMERGE_AREA,MATCH(I8,DIFFERENTIATION_ID_DIFF,0)))</f>
        <v/>
      </c>
      <c r="J10" s="2403"/>
      <c r="K10" s="2206"/>
      <c r="U10" s="682"/>
      <c r="V10" s="765">
        <v>15</v>
      </c>
    </row>
    <row s="1642" customFormat="1" customHeight="1" ht="15.75">
      <c r="A11" s="766"/>
      <c r="C11" s="183"/>
      <c r="D11" s="718"/>
      <c r="E11" s="2374" t="s">
        <v>727</v>
      </c>
      <c r="F11" s="2375"/>
      <c r="G11" s="2402" t="str">
        <f>IF(G8="","",INDEX(DIFFERENTIATION_UNMERGE_SYSTEM,MATCH(G8,DIFFERENTIATION_ID_DIFF,0)))</f>
        <v/>
      </c>
      <c r="H11" s="2403"/>
      <c r="I11" s="2402" t="str">
        <f>IF(I8="","",INDEX(DIFFERENTIATION_UNMERGE_SYSTEM,MATCH(I8,DIFFERENTIATION_ID_DIFF,0)))</f>
        <v>без дифференциации</v>
      </c>
      <c r="J11" s="2403"/>
      <c r="K11" s="2206"/>
      <c r="U11" s="682"/>
      <c r="V11" s="765">
        <v>15</v>
      </c>
    </row>
    <row s="1642" customFormat="1" customHeight="1" ht="15.75">
      <c r="A12" s="766"/>
      <c r="C12" s="183"/>
      <c r="D12" s="2376" t="s">
        <v>463</v>
      </c>
      <c r="E12" s="2377"/>
      <c r="F12" s="2377"/>
      <c r="G12" s="894"/>
      <c r="H12" s="894"/>
      <c r="I12" s="894"/>
      <c r="J12" s="894"/>
      <c r="K12" s="2206"/>
      <c r="U12" s="682"/>
      <c r="V12" s="765">
        <v>15</v>
      </c>
    </row>
    <row customHeight="1" ht="35.699999999999996">
      <c r="C13" s="183"/>
      <c r="D13" s="812" t="s">
        <v>88</v>
      </c>
      <c r="E13" s="814" t="s">
        <v>465</v>
      </c>
      <c r="F13" s="814" t="s">
        <v>728</v>
      </c>
      <c r="G13" s="815" t="s">
        <v>466</v>
      </c>
      <c r="H13" s="814" t="s">
        <v>553</v>
      </c>
      <c r="I13" s="815" t="s">
        <v>466</v>
      </c>
      <c r="J13" s="814" t="s">
        <v>553</v>
      </c>
      <c r="K13" s="2239"/>
      <c r="V13" s="512">
        <v>34</v>
      </c>
    </row>
    <row customHeight="1" ht="15" hidden="1">
      <c r="C14" s="183"/>
      <c r="D14" s="600" t="s">
        <v>108</v>
      </c>
      <c r="E14" s="600" t="s">
        <v>99</v>
      </c>
      <c r="F14" s="600" t="s">
        <v>90</v>
      </c>
      <c r="G14" s="666" t="str">
        <f>G1&amp;".1"</f>
        <v>4.1</v>
      </c>
      <c r="H14" s="666"/>
      <c r="I14" s="666" t="str">
        <f>I1&amp;".1"</f>
        <v>4.1</v>
      </c>
      <c r="J14" s="666"/>
      <c r="K14" s="296"/>
      <c r="V14" s="512">
        <v>0</v>
      </c>
    </row>
    <row customHeight="1" ht="22.5" hidden="1">
      <c r="A15" s="512"/>
      <c r="C15" s="533"/>
      <c r="D15" s="528">
        <v>1</v>
      </c>
      <c r="E15" s="684" t="s">
        <v>970</v>
      </c>
      <c r="F15" s="528" t="s">
        <v>971</v>
      </c>
      <c r="G15" s="685"/>
      <c r="H15" s="685"/>
      <c r="I15" s="685"/>
      <c r="J15" s="685"/>
      <c r="K15" s="296" t="s">
        <v>972</v>
      </c>
      <c r="V15" s="512">
        <v>0</v>
      </c>
    </row>
    <row customHeight="1" ht="22.5" hidden="1">
      <c r="A16" s="512"/>
      <c r="C16" s="533"/>
      <c r="D16" s="528">
        <v>2</v>
      </c>
      <c r="E16" s="286" t="s">
        <v>973</v>
      </c>
      <c r="F16" s="528" t="s">
        <v>974</v>
      </c>
      <c r="G16" s="685"/>
      <c r="H16" s="685"/>
      <c r="I16" s="685"/>
      <c r="J16" s="685"/>
      <c r="K16" s="296" t="s">
        <v>975</v>
      </c>
      <c r="V16" s="512">
        <v>0</v>
      </c>
    </row>
    <row customHeight="1" ht="123.75" hidden="1">
      <c r="A17" s="512"/>
      <c r="C17" s="533"/>
      <c r="D17" s="528">
        <v>3</v>
      </c>
      <c r="E17" s="286" t="s">
        <v>1321</v>
      </c>
      <c r="F17" s="528" t="s">
        <v>469</v>
      </c>
      <c r="G17" s="685"/>
      <c r="H17" s="685"/>
      <c r="I17" s="685"/>
      <c r="J17" s="685"/>
      <c r="K17" s="296" t="s">
        <v>1322</v>
      </c>
      <c r="V17" s="512">
        <v>0</v>
      </c>
    </row>
    <row customHeight="1" ht="48.29999999999999">
      <c r="A18" s="512"/>
      <c r="C18" s="533"/>
      <c r="D18" s="528">
        <v>3</v>
      </c>
      <c r="E18" s="286" t="s">
        <v>976</v>
      </c>
      <c r="F18" s="528" t="s">
        <v>469</v>
      </c>
      <c r="G18" s="816" t="s">
        <v>469</v>
      </c>
      <c r="H18" s="817" t="s">
        <v>469</v>
      </c>
      <c r="I18" s="528" t="s">
        <v>469</v>
      </c>
      <c r="J18" s="585" t="s">
        <v>469</v>
      </c>
      <c r="K18" s="296" t="s">
        <v>1323</v>
      </c>
      <c r="V18" s="512">
        <v>46</v>
      </c>
    </row>
    <row customHeight="1" ht="35.699999999999996">
      <c r="A19" s="512"/>
      <c r="C19" s="533"/>
      <c r="D19" s="546" t="s">
        <v>487</v>
      </c>
      <c r="E19" s="566" t="s">
        <v>978</v>
      </c>
      <c r="F19" s="528" t="s">
        <v>979</v>
      </c>
      <c r="G19" s="824"/>
      <c r="H19" s="113"/>
      <c r="I19" s="824"/>
      <c r="J19" s="825"/>
      <c r="K19" s="686"/>
      <c r="V19" s="512">
        <v>34</v>
      </c>
    </row>
    <row customHeight="1" ht="35.699999999999996">
      <c r="A20" s="512"/>
      <c r="C20" s="533"/>
      <c r="D20" s="1897" t="s">
        <v>495</v>
      </c>
      <c r="E20" s="566" t="s">
        <v>980</v>
      </c>
      <c r="F20" s="528" t="s">
        <v>981</v>
      </c>
      <c r="G20" s="824"/>
      <c r="H20" s="113"/>
      <c r="I20" s="824"/>
      <c r="J20" s="113"/>
      <c r="K20" s="686"/>
      <c r="V20" s="512">
        <v>34</v>
      </c>
    </row>
    <row customHeight="1" ht="48.29999999999999">
      <c r="A21" s="512"/>
      <c r="C21" s="533"/>
      <c r="D21" s="1897" t="s">
        <v>497</v>
      </c>
      <c r="E21" s="566" t="s">
        <v>982</v>
      </c>
      <c r="F21" s="528" t="s">
        <v>733</v>
      </c>
      <c r="G21" s="687"/>
      <c r="H21" s="113"/>
      <c r="I21" s="687"/>
      <c r="J21" s="113"/>
      <c r="K21" s="686"/>
      <c r="V21" s="512">
        <v>46</v>
      </c>
    </row>
    <row customHeight="1" ht="67.5" hidden="1">
      <c r="A22" s="512"/>
      <c r="C22" s="533"/>
      <c r="D22" s="528">
        <v>5</v>
      </c>
      <c r="E22" s="286" t="s">
        <v>1324</v>
      </c>
      <c r="F22" s="528" t="s">
        <v>720</v>
      </c>
      <c r="G22" s="688"/>
      <c r="H22" s="689"/>
      <c r="I22" s="688"/>
      <c r="J22" s="689"/>
      <c r="K22" s="296" t="s">
        <v>1325</v>
      </c>
      <c r="V22" s="512">
        <v>0</v>
      </c>
    </row>
    <row customHeight="1" ht="33.75" hidden="1">
      <c r="C23" s="458"/>
      <c r="D23" s="528">
        <v>6</v>
      </c>
      <c r="E23" s="286" t="s">
        <v>1326</v>
      </c>
      <c r="F23" s="528" t="s">
        <v>1327</v>
      </c>
      <c r="G23" s="688"/>
      <c r="H23" s="688"/>
      <c r="I23" s="688"/>
      <c r="J23" s="688"/>
      <c r="K23" s="296" t="s">
        <v>1328</v>
      </c>
      <c r="V23" s="512">
        <v>0</v>
      </c>
    </row>
    <row customHeight="1" ht="15.75">
      <c r="V24" s="512">
        <v>15</v>
      </c>
    </row>
    <row customHeight="1" ht="15.75">
      <c r="V25" s="512">
        <v>15</v>
      </c>
    </row>
    <row customHeight="1" ht="15.75">
      <c r="V26" s="512">
        <v>15</v>
      </c>
    </row>
    <row customHeight="1" ht="15.75">
      <c r="V27" s="512">
        <v>15</v>
      </c>
    </row>
    <row customHeight="1" ht="15.75">
      <c r="V28" s="512">
        <v>15</v>
      </c>
    </row>
    <row customHeight="1" ht="15.75">
      <c r="J29" s="826"/>
      <c r="V29" s="512">
        <v>15</v>
      </c>
    </row>
    <row customHeight="1" ht="22.5" hidden="1">
      <c r="A30" s="456" t="s">
        <v>82</v>
      </c>
      <c r="B30" s="512">
        <v>0</v>
      </c>
      <c r="C30" s="690">
        <v>4</v>
      </c>
      <c r="D30" s="512">
        <v>6</v>
      </c>
      <c r="E30" s="512">
        <v>47</v>
      </c>
      <c r="F30" s="512">
        <v>9</v>
      </c>
      <c r="G30" s="765">
        <v>0</v>
      </c>
      <c r="H30" s="765">
        <v>0</v>
      </c>
      <c r="I30" s="512">
        <v>25</v>
      </c>
      <c r="J30" s="512">
        <v>33</v>
      </c>
      <c r="K30" s="424">
        <v>50</v>
      </c>
      <c r="L30" s="512">
        <v>10</v>
      </c>
      <c r="M30" s="512">
        <v>10</v>
      </c>
      <c r="N30" s="512">
        <v>10</v>
      </c>
      <c r="O30" s="512">
        <v>10</v>
      </c>
      <c r="P30" s="512">
        <v>10</v>
      </c>
      <c r="Q30" s="512">
        <v>10</v>
      </c>
      <c r="R30" s="512">
        <v>10</v>
      </c>
      <c r="S30" s="512">
        <v>10</v>
      </c>
      <c r="T30" s="512">
        <v>10</v>
      </c>
      <c r="U30" s="682">
        <v>10</v>
      </c>
      <c r="V30" s="512">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890D43D-E873-865E-CCD2-2CCBE4D20F6D}"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9" width="32.57421875" customWidth="1"/>
    <col min="2" max="2" style="1857" width="11.00390625" customWidth="1"/>
    <col min="3" max="3" style="1857" width="9.140625"/>
    <col min="4" max="4" style="1857" width="26.57421875" customWidth="1"/>
    <col min="5" max="5" style="1830" width="36.8515625" customWidth="1"/>
    <col min="6" max="6" style="1830" width="23.57421875" customWidth="1"/>
    <col min="7" max="7" style="1830" width="31.421875" customWidth="1"/>
    <col min="8" max="8" style="1830" width="40.8515625" customWidth="1"/>
    <col min="9" max="9" style="1830" width="14.57421875" customWidth="1"/>
    <col min="10" max="10" style="1830" width="26.8515625" customWidth="1"/>
    <col min="11" max="11" style="1830" width="50.00390625" customWidth="1"/>
    <col min="12" max="12" style="1830" width="52.421875" customWidth="1"/>
    <col min="13" max="13" style="1830" width="10.7109375" customWidth="1"/>
    <col min="14" max="14" style="1830" width="55.140625" customWidth="1"/>
    <col min="15" max="15" style="1830" width="31.8515625" customWidth="1"/>
    <col min="16" max="16" style="1830" width="23.8515625" customWidth="1"/>
    <col min="17" max="17" style="1830" width="46.57421875" customWidth="1"/>
    <col min="18" max="18" style="1830" width="24.00390625" customWidth="1"/>
    <col min="19" max="19" style="1830" width="20.57421875" customWidth="1"/>
    <col min="20" max="20" style="1830" width="22.00390625" customWidth="1"/>
    <col min="21" max="22" style="1830" width="26.421875" customWidth="1"/>
    <col min="23" max="23" style="1830" width="8.28125" hidden="1" customWidth="1"/>
    <col min="24" max="24" style="1830" width="59.7109375" customWidth="1"/>
    <col min="25" max="25" style="1830" width="49.140625" customWidth="1"/>
    <col min="26" max="26" style="1830" width="11.140625" customWidth="1"/>
    <col min="27" max="30" style="1830" width="29.00390625" customWidth="1"/>
    <col min="31" max="31" style="1830" width="9.140625"/>
    <col min="32" max="32" style="1830" width="34.7109375" customWidth="1"/>
    <col min="33" max="33" style="1830" width="9.140625"/>
    <col min="34" max="35" style="1830" width="34.421875" customWidth="1"/>
    <col min="36" max="36" style="1830" width="9.140625"/>
    <col min="37" max="37" style="1830" width="24.57421875" customWidth="1"/>
    <col min="38" max="38" style="1830" width="9.140625"/>
    <col min="39" max="39" style="1830" width="26.140625" customWidth="1"/>
    <col min="40" max="40" style="1830" width="1.7109375" customWidth="1"/>
    <col min="41" max="41" style="1830" width="9.140625"/>
    <col min="42" max="43" style="1830" width="47.8515625" customWidth="1"/>
    <col min="44" max="44" style="1830" width="1.7109375" customWidth="1"/>
    <col min="45" max="45" style="1830" width="21.421875" customWidth="1"/>
    <col min="46" max="46" style="1830" width="1.7109375" customWidth="1"/>
    <col min="47" max="47" style="1830" width="31.28125" customWidth="1"/>
    <col min="48" max="48" style="1830" width="1.7109375" customWidth="1"/>
    <col min="49" max="50" style="1830" width="9.140625"/>
    <col min="51" max="51" style="1830" width="3.7109375" customWidth="1"/>
    <col min="52" max="52" style="1830" width="60.8515625" customWidth="1"/>
    <col min="53" max="53" style="1830" width="49.28125" customWidth="1"/>
    <col min="54" max="54" style="1830" width="35.140625" customWidth="1"/>
    <col min="55" max="55" style="1830" width="9.140625"/>
    <col min="56" max="56" style="1830" width="1.7109375" customWidth="1"/>
    <col min="57" max="57" style="1073" width="12.57421875" customWidth="1"/>
    <col min="58" max="58" style="1073" width="14.28125" customWidth="1"/>
    <col min="59" max="59" style="1830" width="30.7109375" customWidth="1"/>
    <col min="60" max="60" style="1847" width="40.7109375" customWidth="1"/>
    <col min="61" max="61" style="1847" width="15.00390625" customWidth="1"/>
    <col min="62" max="62" style="1847" width="40.7109375" customWidth="1"/>
    <col min="63" max="63" style="1847" width="2.7109375" customWidth="1"/>
    <col min="64" max="64" style="1847" width="44.7109375" customWidth="1"/>
    <col min="65" max="65" style="1847" width="2.7109375" customWidth="1"/>
    <col min="66" max="66" style="1847" width="40.7109375" customWidth="1"/>
    <col min="67" max="68" style="1830" width="9.140625"/>
    <col min="69" max="69" style="1830" width="18.140625" customWidth="1"/>
    <col min="70" max="70" style="1830" width="57.8515625" customWidth="1"/>
    <col min="71" max="71" style="1830" width="1.7109375" customWidth="1"/>
    <col min="72" max="72" style="1830" width="22.57421875" customWidth="1"/>
    <col min="73" max="73" style="1830" width="57.8515625" customWidth="1"/>
    <col min="74" max="74" style="1830" width="1.7109375" customWidth="1"/>
    <col min="75" max="75" style="1830" width="22.57421875" customWidth="1"/>
    <col min="76" max="76" style="1830" width="57.8515625" customWidth="1"/>
    <col min="77" max="77" style="1830" width="1.7109375" customWidth="1"/>
    <col min="78" max="78" style="1830" width="22.57421875" customWidth="1"/>
    <col min="79" max="79" style="1830" width="57.8515625" customWidth="1"/>
    <col min="80" max="81" style="1830" width="9.140625"/>
    <col min="82" max="82" style="1830" width="49.57421875" customWidth="1"/>
  </cols>
  <sheetData>
    <row s="1434" customFormat="1" customHeight="1" ht="11.25">
      <c r="A1" s="1074" t="s">
        <v>1329</v>
      </c>
      <c r="B1" s="1074" t="s">
        <v>1330</v>
      </c>
      <c r="C1" s="1074" t="s">
        <v>1331</v>
      </c>
      <c r="D1" s="1074" t="s">
        <v>1332</v>
      </c>
      <c r="E1" s="1074" t="s">
        <v>1333</v>
      </c>
      <c r="F1" s="1074" t="s">
        <v>1334</v>
      </c>
      <c r="G1" s="1074" t="s">
        <v>1335</v>
      </c>
      <c r="H1" s="1074" t="s">
        <v>1336</v>
      </c>
      <c r="I1" s="1074" t="s">
        <v>1337</v>
      </c>
      <c r="J1" s="1074" t="s">
        <v>1338</v>
      </c>
      <c r="K1" s="1074" t="s">
        <v>1339</v>
      </c>
      <c r="L1" s="1074" t="s">
        <v>1340</v>
      </c>
      <c r="M1" s="1074"/>
      <c r="N1" s="1074" t="s">
        <v>1341</v>
      </c>
      <c r="O1" s="1074" t="s">
        <v>1342</v>
      </c>
      <c r="P1" s="1074" t="s">
        <v>1343</v>
      </c>
      <c r="Q1" s="1074" t="s">
        <v>1344</v>
      </c>
      <c r="R1" s="1074" t="s">
        <v>1345</v>
      </c>
      <c r="S1" s="1074" t="s">
        <v>1346</v>
      </c>
      <c r="T1" s="1074" t="s">
        <v>1347</v>
      </c>
      <c r="U1" s="1074" t="s">
        <v>1348</v>
      </c>
      <c r="V1" s="1074"/>
      <c r="W1" s="804" t="s">
        <v>1349</v>
      </c>
      <c r="X1" s="1074" t="s">
        <v>1350</v>
      </c>
      <c r="Y1" s="1074" t="s">
        <v>1351</v>
      </c>
      <c r="Z1" s="1074"/>
      <c r="AA1" s="1074" t="s">
        <v>1352</v>
      </c>
      <c r="AB1" s="1074"/>
      <c r="AC1" s="1074" t="s">
        <v>1353</v>
      </c>
      <c r="AD1" s="1074"/>
      <c r="AF1" s="1074" t="s">
        <v>1354</v>
      </c>
      <c r="AH1" s="1074" t="s">
        <v>1355</v>
      </c>
      <c r="AI1" s="1074" t="s">
        <v>1356</v>
      </c>
      <c r="AK1" s="1074" t="s">
        <v>1357</v>
      </c>
      <c r="AM1" s="1074" t="s">
        <v>1358</v>
      </c>
      <c r="AP1" s="1074" t="s">
        <v>1359</v>
      </c>
      <c r="AQ1" s="1074" t="s">
        <v>1360</v>
      </c>
      <c r="AS1" s="1074" t="s">
        <v>1361</v>
      </c>
      <c r="AU1" s="1074" t="s">
        <v>1362</v>
      </c>
      <c r="AW1" s="1074" t="s">
        <v>1363</v>
      </c>
      <c r="AX1" s="1074" t="s">
        <v>1364</v>
      </c>
      <c r="AZ1" s="1159" t="s">
        <v>1365</v>
      </c>
      <c r="BB1" s="1074" t="s">
        <v>1366</v>
      </c>
      <c r="BC1" s="1074"/>
      <c r="BE1" s="1074" t="s">
        <v>1367</v>
      </c>
      <c r="BF1" s="1074" t="s">
        <v>1368</v>
      </c>
      <c r="BH1" s="1076" t="s">
        <v>969</v>
      </c>
      <c r="BI1" s="1077"/>
      <c r="BJ1" s="1078" t="s">
        <v>1369</v>
      </c>
      <c r="BK1" s="1077"/>
      <c r="BL1" s="1079" t="s">
        <v>1068</v>
      </c>
      <c r="BM1" s="1077"/>
      <c r="BN1" s="1080" t="s">
        <v>1370</v>
      </c>
      <c r="BS1" s="1434"/>
    </row>
    <row customHeight="1" ht="11.25">
      <c r="A2" s="1081" t="s">
        <v>1371</v>
      </c>
      <c r="B2" s="1082">
        <v>2000</v>
      </c>
      <c r="C2" s="1082">
        <v>2022</v>
      </c>
      <c r="D2" s="1082" t="s">
        <v>66</v>
      </c>
      <c r="E2" s="1083" t="s">
        <v>1372</v>
      </c>
      <c r="F2" s="1083" t="s">
        <v>1373</v>
      </c>
      <c r="G2" s="1083" t="s">
        <v>1374</v>
      </c>
      <c r="H2" s="1084" t="s">
        <v>55</v>
      </c>
      <c r="I2" s="1083" t="s">
        <v>108</v>
      </c>
      <c r="J2" s="1083" t="s">
        <v>1375</v>
      </c>
      <c r="K2" s="1085" t="s">
        <v>1376</v>
      </c>
      <c r="L2" s="1086"/>
      <c r="M2" s="1085">
        <v>1</v>
      </c>
      <c r="N2" s="1169" t="s">
        <v>1377</v>
      </c>
      <c r="O2" s="1084" t="s">
        <v>1378</v>
      </c>
      <c r="P2" s="1087" t="s">
        <v>1379</v>
      </c>
      <c r="Q2" s="1088" t="s">
        <v>656</v>
      </c>
      <c r="R2" s="150" t="s">
        <v>1380</v>
      </c>
      <c r="S2" s="150" t="s">
        <v>1381</v>
      </c>
      <c r="T2" s="1089" t="s">
        <v>1382</v>
      </c>
      <c r="U2" s="1086" t="s">
        <v>1383</v>
      </c>
      <c r="V2" s="1090">
        <v>1</v>
      </c>
      <c r="W2" s="1091"/>
      <c r="X2" s="1091" t="s">
        <v>1384</v>
      </c>
      <c r="Y2" s="1082" t="s">
        <v>1385</v>
      </c>
      <c r="Z2" s="1092"/>
      <c r="AA2" s="1082" t="s">
        <v>1386</v>
      </c>
      <c r="AB2" s="1093" t="s">
        <v>1386</v>
      </c>
      <c r="AC2" s="1082" t="s">
        <v>1387</v>
      </c>
      <c r="AD2" s="1093" t="s">
        <v>1387</v>
      </c>
      <c r="AF2" s="1084" t="s">
        <v>1383</v>
      </c>
      <c r="AH2" s="1083" t="s">
        <v>1388</v>
      </c>
      <c r="AI2" s="1083" t="s">
        <v>1388</v>
      </c>
      <c r="AK2" s="1083" t="s">
        <v>1389</v>
      </c>
      <c r="AM2" s="1083" t="s">
        <v>1390</v>
      </c>
      <c r="AP2" s="1094" t="s">
        <v>1384</v>
      </c>
      <c r="AQ2" s="1095" t="s">
        <v>1384</v>
      </c>
      <c r="AS2" s="1082" t="s">
        <v>1391</v>
      </c>
      <c r="AU2" s="1127" t="s">
        <v>1392</v>
      </c>
      <c r="AW2" s="1127" t="s">
        <v>1393</v>
      </c>
      <c r="AX2" s="1127" t="s">
        <v>1393</v>
      </c>
      <c r="AZ2" s="1127" t="s">
        <v>1394</v>
      </c>
      <c r="BB2" s="1127" t="s">
        <v>1395</v>
      </c>
      <c r="BC2" s="1127" t="s">
        <v>1396</v>
      </c>
      <c r="BE2" s="1127">
        <v>2000</v>
      </c>
      <c r="BF2" s="1127" t="s">
        <v>1397</v>
      </c>
    </row>
    <row customHeight="1" ht="11.25">
      <c r="A3" s="1081" t="s">
        <v>1398</v>
      </c>
      <c r="B3" s="1082">
        <v>2001</v>
      </c>
      <c r="C3" s="1082">
        <v>2023</v>
      </c>
      <c r="D3" s="1082" t="s">
        <v>19</v>
      </c>
      <c r="E3" s="1083" t="s">
        <v>1399</v>
      </c>
      <c r="F3" s="1083" t="s">
        <v>1400</v>
      </c>
      <c r="G3" s="1083" t="s">
        <v>1401</v>
      </c>
      <c r="H3" s="1084" t="s">
        <v>1402</v>
      </c>
      <c r="I3" s="1083" t="s">
        <v>99</v>
      </c>
      <c r="J3" s="1083" t="s">
        <v>718</v>
      </c>
      <c r="K3" s="1085" t="s">
        <v>1312</v>
      </c>
      <c r="L3" s="1086">
        <f>_xlfn.IFERROR(MATCH(K3,OFFER_METHOD,0),0)</f>
        <v>28</v>
      </c>
      <c r="M3" s="1085">
        <v>2</v>
      </c>
      <c r="N3" s="1169" t="s">
        <v>1403</v>
      </c>
      <c r="O3" s="1084" t="s">
        <v>1404</v>
      </c>
      <c r="P3" s="1087" t="s">
        <v>37</v>
      </c>
      <c r="Q3" s="1088" t="s">
        <v>1405</v>
      </c>
      <c r="R3" s="150" t="s">
        <v>1406</v>
      </c>
      <c r="S3" s="150" t="s">
        <v>1407</v>
      </c>
      <c r="T3" s="1089" t="s">
        <v>1408</v>
      </c>
      <c r="U3" s="1086" t="s">
        <v>1409</v>
      </c>
      <c r="V3" s="1090">
        <v>2</v>
      </c>
      <c r="W3" s="1091"/>
      <c r="X3" s="1091" t="s">
        <v>1410</v>
      </c>
      <c r="Y3" s="1082" t="s">
        <v>1385</v>
      </c>
      <c r="Z3" s="1092"/>
      <c r="AA3" s="1082" t="s">
        <v>1411</v>
      </c>
      <c r="AB3" s="1093" t="s">
        <v>1411</v>
      </c>
      <c r="AC3" s="1082" t="s">
        <v>1412</v>
      </c>
      <c r="AD3" s="1093" t="s">
        <v>1412</v>
      </c>
      <c r="AF3" s="1084" t="s">
        <v>1409</v>
      </c>
      <c r="AH3" s="1083" t="s">
        <v>1413</v>
      </c>
      <c r="AI3" s="1083" t="s">
        <v>1414</v>
      </c>
      <c r="AK3" s="1083" t="s">
        <v>1415</v>
      </c>
      <c r="AM3" s="1083" t="s">
        <v>1416</v>
      </c>
      <c r="AP3" s="1094" t="s">
        <v>1417</v>
      </c>
      <c r="AQ3" s="1095" t="s">
        <v>1417</v>
      </c>
      <c r="AS3" s="1082" t="s">
        <v>1418</v>
      </c>
      <c r="AU3" s="1127" t="s">
        <v>1419</v>
      </c>
      <c r="AW3" s="1127" t="s">
        <v>1420</v>
      </c>
      <c r="AX3" s="1127" t="s">
        <v>1420</v>
      </c>
      <c r="AZ3" s="1127" t="s">
        <v>1421</v>
      </c>
      <c r="BB3" s="1127" t="s">
        <v>1422</v>
      </c>
      <c r="BC3" s="1127" t="s">
        <v>1396</v>
      </c>
      <c r="BE3" s="1127">
        <v>2001</v>
      </c>
      <c r="BF3" s="1127" t="s">
        <v>1423</v>
      </c>
      <c r="BH3" s="1074" t="s">
        <v>1424</v>
      </c>
      <c r="BJ3" s="1074" t="s">
        <v>1425</v>
      </c>
      <c r="BL3" s="1074" t="s">
        <v>1426</v>
      </c>
      <c r="BN3" s="1074" t="s">
        <v>1427</v>
      </c>
      <c r="BR3" s="1074" t="s">
        <v>1428</v>
      </c>
      <c r="BS3" s="1435"/>
      <c r="BT3" s="1077"/>
      <c r="BU3" s="1074" t="s">
        <v>1429</v>
      </c>
      <c r="BV3" s="1077"/>
      <c r="BW3" s="1697"/>
      <c r="BX3" s="1699" t="s">
        <v>1430</v>
      </c>
      <c r="CA3" s="1074" t="s">
        <v>1431</v>
      </c>
    </row>
    <row customHeight="1" ht="11.25">
      <c r="A4" s="1081" t="s">
        <v>1432</v>
      </c>
      <c r="B4" s="1082">
        <v>2002</v>
      </c>
      <c r="C4" s="1082">
        <v>2024</v>
      </c>
      <c r="E4" s="1083" t="s">
        <v>1433</v>
      </c>
      <c r="F4" s="1083" t="s">
        <v>1434</v>
      </c>
      <c r="H4" s="1084" t="s">
        <v>1435</v>
      </c>
      <c r="I4" s="1083" t="s">
        <v>90</v>
      </c>
      <c r="J4" s="1083" t="s">
        <v>1436</v>
      </c>
      <c r="K4" s="1085" t="s">
        <v>1437</v>
      </c>
      <c r="L4" s="1086">
        <f>_xlfn.IFERROR(MATCH(K4,OFFER_METHOD,0),0)</f>
        <v>0</v>
      </c>
      <c r="M4" s="1085">
        <v>3</v>
      </c>
      <c r="N4" s="1169" t="s">
        <v>1438</v>
      </c>
      <c r="O4" s="1083" t="s">
        <v>1439</v>
      </c>
      <c r="Q4" s="1088" t="s">
        <v>1440</v>
      </c>
      <c r="R4" s="150" t="s">
        <v>1441</v>
      </c>
      <c r="S4" s="150" t="s">
        <v>1442</v>
      </c>
      <c r="T4" s="1089" t="s">
        <v>1443</v>
      </c>
      <c r="U4" s="1086" t="s">
        <v>1444</v>
      </c>
      <c r="V4" s="1090">
        <v>3</v>
      </c>
      <c r="W4" s="1091"/>
      <c r="X4" s="1091" t="s">
        <v>1445</v>
      </c>
      <c r="Y4" s="1082" t="s">
        <v>1385</v>
      </c>
      <c r="Z4" s="1098"/>
      <c r="AC4" s="1082" t="s">
        <v>1446</v>
      </c>
      <c r="AD4" s="1093" t="s">
        <v>1446</v>
      </c>
      <c r="AF4" s="1084" t="s">
        <v>1444</v>
      </c>
      <c r="AH4" s="1084" t="s">
        <v>1447</v>
      </c>
      <c r="AK4" s="1083" t="s">
        <v>1448</v>
      </c>
      <c r="AM4" s="1083" t="s">
        <v>1449</v>
      </c>
      <c r="AP4" s="1094" t="s">
        <v>1410</v>
      </c>
      <c r="AQ4" s="1095" t="s">
        <v>1410</v>
      </c>
      <c r="AS4" s="1082" t="s">
        <v>1450</v>
      </c>
      <c r="AU4" s="1127" t="s">
        <v>1451</v>
      </c>
      <c r="AW4" s="1127" t="s">
        <v>1452</v>
      </c>
      <c r="AX4" s="1127" t="s">
        <v>1452</v>
      </c>
      <c r="AZ4" s="1127" t="s">
        <v>1453</v>
      </c>
      <c r="BB4" s="1127" t="s">
        <v>1454</v>
      </c>
      <c r="BC4" s="1127" t="s">
        <v>1455</v>
      </c>
      <c r="BE4" s="1127">
        <v>2002</v>
      </c>
      <c r="BF4" s="1127" t="s">
        <v>1456</v>
      </c>
      <c r="BH4" s="1075" t="s">
        <v>1457</v>
      </c>
      <c r="BJ4" s="1075" t="s">
        <v>1457</v>
      </c>
      <c r="BL4" s="1075" t="s">
        <v>1457</v>
      </c>
      <c r="BN4" s="1075" t="s">
        <v>1457</v>
      </c>
      <c r="BQ4" s="1439" t="s">
        <v>1458</v>
      </c>
      <c r="BR4" s="1166" t="s">
        <v>1459</v>
      </c>
      <c r="BS4" s="281"/>
      <c r="BT4" s="1439" t="s">
        <v>1460</v>
      </c>
      <c r="BU4" s="1166" t="s">
        <v>1461</v>
      </c>
      <c r="BV4" s="1077"/>
      <c r="BW4" s="1704" t="s">
        <v>1462</v>
      </c>
      <c r="BX4" s="1698" t="s">
        <v>1463</v>
      </c>
      <c r="BZ4" s="1439" t="s">
        <v>1464</v>
      </c>
      <c r="CA4" s="1166" t="s">
        <v>1465</v>
      </c>
    </row>
    <row customHeight="1" ht="11.25">
      <c r="A5" s="1081" t="s">
        <v>1466</v>
      </c>
      <c r="B5" s="1082">
        <v>2003</v>
      </c>
      <c r="C5" s="1082">
        <v>2025</v>
      </c>
      <c r="E5" s="1083" t="s">
        <v>1467</v>
      </c>
      <c r="F5" s="1083" t="s">
        <v>1468</v>
      </c>
      <c r="H5" s="1084" t="s">
        <v>1469</v>
      </c>
      <c r="I5" s="1083" t="s">
        <v>91</v>
      </c>
      <c r="K5" s="1085" t="s">
        <v>1470</v>
      </c>
      <c r="L5" s="1086">
        <f>_xlfn.IFERROR(MATCH(K5,OFFER_METHOD,0),0)</f>
        <v>0</v>
      </c>
      <c r="M5" s="1085">
        <v>4</v>
      </c>
      <c r="N5" s="1099" t="s">
        <v>1471</v>
      </c>
      <c r="O5" s="1083" t="s">
        <v>1472</v>
      </c>
      <c r="Q5" s="1088" t="s">
        <v>1473</v>
      </c>
      <c r="R5" s="150" t="s">
        <v>1474</v>
      </c>
      <c r="T5" s="1084" t="s">
        <v>1475</v>
      </c>
      <c r="U5" s="1086" t="s">
        <v>1476</v>
      </c>
      <c r="V5" s="1090">
        <v>4</v>
      </c>
      <c r="W5" s="1091"/>
      <c r="X5" s="1091" t="s">
        <v>252</v>
      </c>
      <c r="Y5" s="1082" t="s">
        <v>1477</v>
      </c>
      <c r="Z5" s="1098">
        <v>1</v>
      </c>
      <c r="AF5" s="1084" t="s">
        <v>1478</v>
      </c>
      <c r="AH5" s="1083" t="s">
        <v>1479</v>
      </c>
      <c r="AK5" s="1083" t="s">
        <v>1480</v>
      </c>
      <c r="AM5" s="1083" t="s">
        <v>1481</v>
      </c>
      <c r="AP5" s="1094" t="s">
        <v>252</v>
      </c>
      <c r="AQ5" s="1095" t="s">
        <v>252</v>
      </c>
      <c r="AU5" s="1127" t="s">
        <v>1482</v>
      </c>
      <c r="AW5" s="1127" t="s">
        <v>1483</v>
      </c>
      <c r="AX5" s="1127" t="s">
        <v>1483</v>
      </c>
      <c r="AZ5" s="1127" t="s">
        <v>1484</v>
      </c>
      <c r="BB5" s="1127" t="s">
        <v>1485</v>
      </c>
      <c r="BC5" s="1127" t="s">
        <v>1486</v>
      </c>
      <c r="BE5" s="1127">
        <v>2003</v>
      </c>
      <c r="BF5" s="1127" t="s">
        <v>1487</v>
      </c>
      <c r="BH5" s="1075" t="s">
        <v>1488</v>
      </c>
      <c r="BJ5" s="1075" t="s">
        <v>1488</v>
      </c>
      <c r="BL5" s="1075" t="s">
        <v>1488</v>
      </c>
      <c r="BN5" s="1075" t="s">
        <v>1489</v>
      </c>
      <c r="BQ5" s="1288">
        <v>4213775</v>
      </c>
      <c r="BR5" s="1075" t="s">
        <v>1384</v>
      </c>
      <c r="BS5" s="1436"/>
      <c r="BT5" s="1288">
        <v>64236871</v>
      </c>
      <c r="BU5" s="1075" t="s">
        <v>392</v>
      </c>
      <c r="BV5" s="1077"/>
      <c r="BW5" s="1702">
        <v>4213767</v>
      </c>
      <c r="BX5" s="1700" t="s">
        <v>1490</v>
      </c>
      <c r="BZ5" s="1288">
        <v>64237509</v>
      </c>
      <c r="CA5" s="1302" t="s">
        <v>1491</v>
      </c>
    </row>
    <row customHeight="1" ht="11.25">
      <c r="A6" s="1081" t="s">
        <v>16</v>
      </c>
      <c r="B6" s="1082">
        <v>2004</v>
      </c>
      <c r="C6" s="1082">
        <v>2026</v>
      </c>
      <c r="E6" s="1083" t="s">
        <v>1492</v>
      </c>
      <c r="F6" s="1100"/>
      <c r="H6" s="1084" t="s">
        <v>1493</v>
      </c>
      <c r="I6" s="1083" t="s">
        <v>119</v>
      </c>
      <c r="J6" s="1074" t="s">
        <v>1494</v>
      </c>
      <c r="L6" s="1086">
        <f>SUM(kind_of_control_method_filter)</f>
        <v>28</v>
      </c>
      <c r="N6" s="1099" t="s">
        <v>1495</v>
      </c>
      <c r="O6" s="1083" t="s">
        <v>1496</v>
      </c>
      <c r="R6" s="150" t="s">
        <v>656</v>
      </c>
      <c r="T6" s="1084" t="s">
        <v>1497</v>
      </c>
      <c r="U6" s="1086" t="s">
        <v>1478</v>
      </c>
      <c r="V6" s="1090">
        <v>5</v>
      </c>
      <c r="W6" s="1091"/>
      <c r="X6" s="1082" t="s">
        <v>258</v>
      </c>
      <c r="Y6" s="1082" t="s">
        <v>1498</v>
      </c>
      <c r="Z6" s="1098"/>
      <c r="AA6" s="1101"/>
      <c r="AH6" s="1083" t="s">
        <v>1499</v>
      </c>
      <c r="AK6" s="1083" t="s">
        <v>1500</v>
      </c>
      <c r="AM6" s="1083" t="s">
        <v>1501</v>
      </c>
      <c r="AP6" s="1094" t="s">
        <v>258</v>
      </c>
      <c r="AQ6" s="1095" t="s">
        <v>258</v>
      </c>
      <c r="AU6" s="1127" t="s">
        <v>1502</v>
      </c>
      <c r="AW6" s="1127" t="s">
        <v>1503</v>
      </c>
      <c r="AX6" s="1127" t="s">
        <v>1503</v>
      </c>
      <c r="BB6" s="1127" t="s">
        <v>1504</v>
      </c>
      <c r="BC6" s="1127" t="s">
        <v>1486</v>
      </c>
      <c r="BE6" s="1127">
        <v>2004</v>
      </c>
      <c r="BF6" s="1127" t="s">
        <v>1505</v>
      </c>
      <c r="BH6" s="1075" t="s">
        <v>1506</v>
      </c>
      <c r="BJ6" s="1075" t="s">
        <v>1507</v>
      </c>
      <c r="BL6" s="1075" t="s">
        <v>1507</v>
      </c>
      <c r="BN6" s="1075" t="s">
        <v>1508</v>
      </c>
      <c r="BQ6" s="1288">
        <v>4213784</v>
      </c>
      <c r="BR6" s="1302" t="s">
        <v>1417</v>
      </c>
      <c r="BS6" s="1437"/>
      <c r="BT6" s="1288">
        <v>64236872</v>
      </c>
      <c r="BU6" s="1075" t="s">
        <v>397</v>
      </c>
      <c r="BV6" s="1077"/>
      <c r="BW6" s="1702">
        <v>4213768</v>
      </c>
      <c r="BX6" s="1700" t="s">
        <v>417</v>
      </c>
      <c r="BZ6" s="1288">
        <v>64237510</v>
      </c>
      <c r="CA6" s="1075" t="s">
        <v>1509</v>
      </c>
    </row>
    <row customHeight="1" ht="11.25">
      <c r="A7" s="1081" t="s">
        <v>1510</v>
      </c>
      <c r="B7" s="1082">
        <v>2005</v>
      </c>
      <c r="E7" s="1083" t="s">
        <v>1511</v>
      </c>
      <c r="F7" s="1100"/>
      <c r="H7" s="1084" t="s">
        <v>1512</v>
      </c>
      <c r="I7" s="1083" t="s">
        <v>92</v>
      </c>
      <c r="J7" s="1083" t="s">
        <v>1513</v>
      </c>
      <c r="N7" s="1103" t="s">
        <v>1514</v>
      </c>
      <c r="O7" s="1083" t="s">
        <v>1515</v>
      </c>
      <c r="U7" s="1086" t="s">
        <v>19</v>
      </c>
      <c r="V7" s="377" t="s">
        <v>92</v>
      </c>
      <c r="W7" s="1091"/>
      <c r="X7" s="1082" t="s">
        <v>264</v>
      </c>
      <c r="Y7" s="1082" t="s">
        <v>1477</v>
      </c>
      <c r="Z7" s="1098"/>
      <c r="AA7" s="1101"/>
      <c r="AH7" s="1083" t="s">
        <v>1516</v>
      </c>
      <c r="AK7" s="1083" t="s">
        <v>1517</v>
      </c>
      <c r="AM7" s="1083" t="s">
        <v>1518</v>
      </c>
      <c r="AP7" s="1094" t="s">
        <v>264</v>
      </c>
      <c r="AQ7" s="1095" t="s">
        <v>264</v>
      </c>
      <c r="AU7" s="1127" t="s">
        <v>1519</v>
      </c>
      <c r="AW7" s="1127" t="s">
        <v>1520</v>
      </c>
      <c r="AX7" s="1127" t="s">
        <v>1520</v>
      </c>
      <c r="AZ7" s="1074" t="s">
        <v>1521</v>
      </c>
      <c r="BB7" s="1127" t="s">
        <v>1522</v>
      </c>
      <c r="BC7" s="1127" t="s">
        <v>1486</v>
      </c>
      <c r="BE7" s="1127">
        <v>2005</v>
      </c>
      <c r="BF7" s="1127" t="s">
        <v>1523</v>
      </c>
      <c r="BH7" s="1075" t="s">
        <v>1524</v>
      </c>
      <c r="BJ7" s="1075" t="s">
        <v>1506</v>
      </c>
      <c r="BL7" s="1075" t="s">
        <v>1506</v>
      </c>
      <c r="BN7" s="1075" t="s">
        <v>1525</v>
      </c>
      <c r="BQ7" s="1288">
        <v>4213781</v>
      </c>
      <c r="BR7" s="1075" t="s">
        <v>1410</v>
      </c>
      <c r="BS7" s="1436"/>
      <c r="BT7" s="1288">
        <v>64236873</v>
      </c>
      <c r="BU7" s="1075" t="s">
        <v>402</v>
      </c>
      <c r="BV7" s="1077"/>
      <c r="BW7" s="1702">
        <v>4213769</v>
      </c>
      <c r="BX7" s="1700" t="s">
        <v>1526</v>
      </c>
      <c r="BZ7" s="1288">
        <v>64237511</v>
      </c>
      <c r="CA7" s="1075" t="s">
        <v>432</v>
      </c>
    </row>
    <row customHeight="1" ht="11.25">
      <c r="A8" s="1081" t="s">
        <v>1527</v>
      </c>
      <c r="B8" s="1082">
        <v>2006</v>
      </c>
      <c r="E8" s="1083" t="s">
        <v>1528</v>
      </c>
      <c r="F8" s="1100"/>
      <c r="H8" s="1084" t="s">
        <v>1529</v>
      </c>
      <c r="I8" s="1083" t="s">
        <v>93</v>
      </c>
      <c r="J8" s="1083" t="s">
        <v>1530</v>
      </c>
      <c r="N8" s="1170" t="s">
        <v>1531</v>
      </c>
      <c r="O8" s="1083" t="s">
        <v>1532</v>
      </c>
      <c r="V8" s="377" t="s">
        <v>93</v>
      </c>
      <c r="W8" s="1091"/>
      <c r="X8" s="1082" t="s">
        <v>270</v>
      </c>
      <c r="Y8" s="1082" t="s">
        <v>1477</v>
      </c>
      <c r="Z8" s="1098"/>
      <c r="AA8" s="1101"/>
      <c r="AK8" s="1083" t="s">
        <v>1533</v>
      </c>
      <c r="AP8" s="1094" t="s">
        <v>270</v>
      </c>
      <c r="AQ8" s="1095" t="s">
        <v>270</v>
      </c>
      <c r="AU8" s="1127" t="s">
        <v>1534</v>
      </c>
      <c r="AW8" s="1127" t="s">
        <v>1535</v>
      </c>
      <c r="AX8" s="1127" t="s">
        <v>1535</v>
      </c>
      <c r="AZ8" s="1127" t="s">
        <v>1536</v>
      </c>
      <c r="BB8" s="1127" t="s">
        <v>1537</v>
      </c>
      <c r="BC8" s="1127" t="s">
        <v>1486</v>
      </c>
      <c r="BE8" s="1127">
        <v>2006</v>
      </c>
      <c r="BF8" s="1127" t="s">
        <v>1538</v>
      </c>
      <c r="BH8" s="1075" t="s">
        <v>1539</v>
      </c>
      <c r="BJ8" s="1075" t="s">
        <v>1540</v>
      </c>
      <c r="BL8" s="1075" t="s">
        <v>1540</v>
      </c>
      <c r="BN8" s="1075" t="s">
        <v>1541</v>
      </c>
      <c r="BQ8" s="1288">
        <v>4213776</v>
      </c>
      <c r="BR8" s="1075" t="s">
        <v>252</v>
      </c>
      <c r="BS8" s="1436"/>
      <c r="BT8" s="1288">
        <v>64236874</v>
      </c>
      <c r="BU8" s="1302" t="s">
        <v>1542</v>
      </c>
      <c r="BV8" s="1077"/>
      <c r="BW8" s="1702">
        <v>4213770</v>
      </c>
      <c r="BX8" s="1703" t="s">
        <v>1543</v>
      </c>
      <c r="BZ8" s="1288">
        <v>64237512</v>
      </c>
      <c r="CA8" s="1075" t="s">
        <v>427</v>
      </c>
    </row>
    <row customHeight="1" ht="11.25">
      <c r="A9" s="1081" t="s">
        <v>1544</v>
      </c>
      <c r="B9" s="1082">
        <v>2007</v>
      </c>
      <c r="E9" s="1083" t="s">
        <v>1545</v>
      </c>
      <c r="F9" s="1100"/>
      <c r="G9" s="1074" t="s">
        <v>1546</v>
      </c>
      <c r="H9" s="1074" t="s">
        <v>1547</v>
      </c>
      <c r="I9" s="1083" t="s">
        <v>132</v>
      </c>
      <c r="O9" s="1083" t="s">
        <v>1548</v>
      </c>
      <c r="V9" s="377" t="s">
        <v>132</v>
      </c>
      <c r="W9" s="1091"/>
      <c r="X9" s="1082" t="s">
        <v>276</v>
      </c>
      <c r="Y9" s="1082" t="s">
        <v>1385</v>
      </c>
      <c r="Z9" s="1098">
        <v>1</v>
      </c>
      <c r="AA9" s="1101"/>
      <c r="AK9" s="1083" t="s">
        <v>1549</v>
      </c>
      <c r="AP9" s="1094" t="s">
        <v>1550</v>
      </c>
      <c r="AQ9" s="1095" t="s">
        <v>1550</v>
      </c>
      <c r="AW9" s="1127" t="s">
        <v>1551</v>
      </c>
      <c r="AX9" s="1127" t="s">
        <v>1551</v>
      </c>
      <c r="AZ9" s="1127" t="s">
        <v>1552</v>
      </c>
      <c r="BB9" s="1127" t="s">
        <v>1553</v>
      </c>
      <c r="BC9" s="1127" t="s">
        <v>1486</v>
      </c>
      <c r="BE9" s="1127">
        <v>2007</v>
      </c>
      <c r="BF9" s="1127" t="s">
        <v>1554</v>
      </c>
      <c r="BH9" s="1075" t="s">
        <v>1555</v>
      </c>
      <c r="BJ9" s="1075" t="s">
        <v>1556</v>
      </c>
      <c r="BL9" s="1075" t="s">
        <v>1556</v>
      </c>
      <c r="BN9" s="1075" t="s">
        <v>1557</v>
      </c>
      <c r="BQ9" s="1288">
        <v>4213777</v>
      </c>
      <c r="BR9" s="1075" t="s">
        <v>258</v>
      </c>
      <c r="BS9" s="1436"/>
      <c r="BT9" s="1288">
        <v>64236875</v>
      </c>
      <c r="BU9" s="1075" t="s">
        <v>407</v>
      </c>
      <c r="BV9" s="1077"/>
      <c r="BW9" s="1697"/>
      <c r="BX9" s="1697"/>
    </row>
    <row customHeight="1" ht="11.25">
      <c r="A10" s="1081" t="s">
        <v>1558</v>
      </c>
      <c r="B10" s="1082">
        <v>2008</v>
      </c>
      <c r="E10" s="1083" t="s">
        <v>1559</v>
      </c>
      <c r="F10" s="1100"/>
      <c r="G10" s="1083" t="s">
        <v>1560</v>
      </c>
      <c r="H10" s="1083" t="s">
        <v>1561</v>
      </c>
      <c r="I10" s="1083" t="s">
        <v>137</v>
      </c>
      <c r="J10" s="1074" t="s">
        <v>1562</v>
      </c>
      <c r="K10" s="1074" t="s">
        <v>1563</v>
      </c>
      <c r="O10" s="1083" t="s">
        <v>1564</v>
      </c>
      <c r="V10" s="378" t="s">
        <v>137</v>
      </c>
      <c r="W10" s="1104"/>
      <c r="X10" s="1104" t="s">
        <v>1565</v>
      </c>
      <c r="Y10" s="1105" t="s">
        <v>1566</v>
      </c>
      <c r="Z10" s="1098"/>
      <c r="AP10" s="1094" t="s">
        <v>1565</v>
      </c>
      <c r="AQ10" s="1095" t="s">
        <v>1565</v>
      </c>
      <c r="AW10" s="1127" t="s">
        <v>1567</v>
      </c>
      <c r="AX10" s="1127" t="s">
        <v>1567</v>
      </c>
      <c r="AZ10" s="1127" t="s">
        <v>1568</v>
      </c>
      <c r="BB10" s="1127" t="s">
        <v>1569</v>
      </c>
      <c r="BC10" s="1127" t="s">
        <v>1486</v>
      </c>
      <c r="BE10" s="1127">
        <v>2008</v>
      </c>
      <c r="BF10" s="1127" t="s">
        <v>1570</v>
      </c>
      <c r="BH10" s="1075" t="s">
        <v>1571</v>
      </c>
      <c r="BJ10" s="1075" t="s">
        <v>1572</v>
      </c>
      <c r="BL10" s="1075" t="s">
        <v>1572</v>
      </c>
      <c r="BN10" s="1075" t="s">
        <v>1573</v>
      </c>
      <c r="BQ10" s="1288">
        <v>4213778</v>
      </c>
      <c r="BR10" s="1075" t="s">
        <v>264</v>
      </c>
      <c r="BS10" s="1436"/>
      <c r="BT10" s="1288">
        <v>64236876</v>
      </c>
      <c r="BU10" s="1075" t="s">
        <v>308</v>
      </c>
      <c r="BV10" s="1077"/>
      <c r="BW10" s="1697"/>
      <c r="BX10" s="1697"/>
    </row>
    <row customHeight="1" ht="11.25">
      <c r="A11" s="1081" t="s">
        <v>1574</v>
      </c>
      <c r="B11" s="1082">
        <v>2009</v>
      </c>
      <c r="E11" s="1083" t="s">
        <v>1575</v>
      </c>
      <c r="F11" s="1100"/>
      <c r="G11" s="1083" t="s">
        <v>1576</v>
      </c>
      <c r="H11" s="1083" t="s">
        <v>1577</v>
      </c>
      <c r="I11" s="1083" t="s">
        <v>142</v>
      </c>
      <c r="J11" s="1084" t="s">
        <v>1578</v>
      </c>
      <c r="K11" s="1106" t="s">
        <v>1579</v>
      </c>
      <c r="O11" s="1084" t="s">
        <v>1580</v>
      </c>
      <c r="V11" s="377" t="s">
        <v>142</v>
      </c>
      <c r="W11" s="282"/>
      <c r="X11" s="1091" t="s">
        <v>1550</v>
      </c>
      <c r="Y11" s="1082" t="s">
        <v>1581</v>
      </c>
      <c r="Z11" s="1098"/>
      <c r="AP11" s="1094" t="s">
        <v>276</v>
      </c>
      <c r="AQ11" s="1096" t="s">
        <v>276</v>
      </c>
      <c r="AW11" s="1127" t="s">
        <v>1582</v>
      </c>
      <c r="AX11" s="1127" t="s">
        <v>1582</v>
      </c>
      <c r="AZ11" s="1127" t="s">
        <v>1583</v>
      </c>
      <c r="BB11" s="1127" t="s">
        <v>1584</v>
      </c>
      <c r="BC11" s="1127" t="s">
        <v>1486</v>
      </c>
      <c r="BE11" s="1127">
        <v>2009</v>
      </c>
      <c r="BF11" s="1127" t="s">
        <v>1585</v>
      </c>
      <c r="BH11" s="1075" t="s">
        <v>1586</v>
      </c>
      <c r="BJ11" s="1075" t="s">
        <v>1555</v>
      </c>
      <c r="BL11" s="1075" t="s">
        <v>1555</v>
      </c>
      <c r="BN11" s="1075" t="s">
        <v>1587</v>
      </c>
      <c r="BQ11" s="1288">
        <v>4213780</v>
      </c>
      <c r="BR11" s="1075" t="s">
        <v>270</v>
      </c>
      <c r="BS11" s="1436"/>
      <c r="BW11" s="1697"/>
      <c r="BX11" s="1697"/>
    </row>
    <row customHeight="1" ht="11.25">
      <c r="A12" s="1081" t="s">
        <v>1588</v>
      </c>
      <c r="B12" s="1082">
        <v>2010</v>
      </c>
      <c r="E12" s="1083" t="s">
        <v>1589</v>
      </c>
      <c r="F12" s="1100"/>
      <c r="G12" s="1083" t="s">
        <v>1577</v>
      </c>
      <c r="I12" s="1083" t="s">
        <v>147</v>
      </c>
      <c r="J12" s="1084" t="s">
        <v>1590</v>
      </c>
      <c r="K12" s="1106" t="s">
        <v>1591</v>
      </c>
      <c r="O12" s="1084" t="s">
        <v>656</v>
      </c>
      <c r="V12" s="377" t="s">
        <v>147</v>
      </c>
      <c r="W12" s="1096"/>
      <c r="X12" s="1091" t="s">
        <v>1592</v>
      </c>
      <c r="Y12" s="1082" t="s">
        <v>1385</v>
      </c>
      <c r="AP12" s="1094"/>
      <c r="AW12" s="1127" t="s">
        <v>142</v>
      </c>
      <c r="AX12" s="1127" t="s">
        <v>142</v>
      </c>
      <c r="AZ12" s="1127" t="s">
        <v>1593</v>
      </c>
      <c r="BB12" s="1127" t="s">
        <v>1594</v>
      </c>
      <c r="BC12" s="1127" t="s">
        <v>1486</v>
      </c>
      <c r="BE12" s="1127">
        <v>2010</v>
      </c>
      <c r="BF12" s="1127" t="s">
        <v>1595</v>
      </c>
      <c r="BH12" s="1075" t="s">
        <v>1596</v>
      </c>
      <c r="BJ12" s="1075" t="s">
        <v>1597</v>
      </c>
      <c r="BL12" s="1075" t="s">
        <v>1597</v>
      </c>
      <c r="BN12" s="1075" t="s">
        <v>1598</v>
      </c>
      <c r="BQ12" s="1288">
        <v>4213779</v>
      </c>
      <c r="BR12" s="1075" t="s">
        <v>1550</v>
      </c>
      <c r="BS12" s="1436"/>
      <c r="BT12" s="1077"/>
      <c r="BU12" s="1077"/>
      <c r="BV12" s="1077"/>
      <c r="BW12" s="1697"/>
      <c r="BX12" s="1697"/>
    </row>
    <row customHeight="1" ht="11.25">
      <c r="A13" s="1081" t="s">
        <v>1599</v>
      </c>
      <c r="B13" s="1082">
        <v>2011</v>
      </c>
      <c r="E13" s="1083" t="s">
        <v>1600</v>
      </c>
      <c r="F13" s="1100"/>
      <c r="I13" s="1083" t="s">
        <v>152</v>
      </c>
      <c r="K13" s="1106" t="s">
        <v>1549</v>
      </c>
      <c r="V13" s="377" t="s">
        <v>152</v>
      </c>
      <c r="W13" s="1096"/>
      <c r="X13" s="1096"/>
      <c r="Y13" s="1096"/>
      <c r="AW13" s="1127" t="s">
        <v>147</v>
      </c>
      <c r="AX13" s="1127" t="s">
        <v>147</v>
      </c>
      <c r="BB13" s="1127" t="s">
        <v>1601</v>
      </c>
      <c r="BC13" s="1127" t="s">
        <v>1602</v>
      </c>
      <c r="BE13" s="1127">
        <v>2011</v>
      </c>
      <c r="BF13" s="1127" t="s">
        <v>1603</v>
      </c>
      <c r="BH13" s="1075" t="s">
        <v>1604</v>
      </c>
      <c r="BJ13" s="1075" t="s">
        <v>1586</v>
      </c>
      <c r="BL13" s="1075" t="s">
        <v>1586</v>
      </c>
      <c r="BN13" s="1075" t="s">
        <v>1605</v>
      </c>
      <c r="BQ13" s="1288">
        <v>4213783</v>
      </c>
      <c r="BR13" s="1075" t="s">
        <v>1565</v>
      </c>
      <c r="BS13" s="1436"/>
      <c r="BT13" s="1077"/>
      <c r="BU13" s="1077"/>
      <c r="BV13" s="1077"/>
      <c r="BW13" s="1701"/>
      <c r="BX13" s="1697"/>
    </row>
    <row customHeight="1" ht="11.25">
      <c r="A14" s="1081" t="s">
        <v>1606</v>
      </c>
      <c r="B14" s="1082">
        <v>2012</v>
      </c>
      <c r="I14" s="1083" t="s">
        <v>157</v>
      </c>
      <c r="J14" s="1074" t="s">
        <v>1607</v>
      </c>
      <c r="N14" s="1074" t="s">
        <v>1608</v>
      </c>
      <c r="V14" s="1090">
        <v>13</v>
      </c>
      <c r="W14" s="1091"/>
      <c r="X14" s="1091" t="s">
        <v>1417</v>
      </c>
      <c r="Y14" s="1082" t="s">
        <v>1385</v>
      </c>
      <c r="AW14" s="1127" t="s">
        <v>152</v>
      </c>
      <c r="AX14" s="1127" t="s">
        <v>152</v>
      </c>
      <c r="AZ14" s="1074" t="s">
        <v>1609</v>
      </c>
      <c r="BB14" s="1127" t="s">
        <v>1610</v>
      </c>
      <c r="BC14" s="1127" t="s">
        <v>1602</v>
      </c>
      <c r="BE14" s="1127">
        <v>2012</v>
      </c>
      <c r="BH14" s="1075" t="s">
        <v>1525</v>
      </c>
      <c r="BJ14" s="1224" t="s">
        <v>1611</v>
      </c>
      <c r="BL14" s="1224" t="s">
        <v>1611</v>
      </c>
      <c r="BN14" s="1075" t="s">
        <v>1612</v>
      </c>
      <c r="BQ14" s="1288">
        <v>4213782</v>
      </c>
      <c r="BR14" s="1075" t="s">
        <v>276</v>
      </c>
      <c r="BS14" s="1436"/>
      <c r="BT14" s="1077"/>
      <c r="BU14" s="1077"/>
      <c r="BV14" s="1077"/>
      <c r="BW14" s="1701"/>
      <c r="BX14" s="1697"/>
    </row>
    <row customHeight="1" ht="19.5">
      <c r="A15" s="1081" t="s">
        <v>1613</v>
      </c>
      <c r="B15" s="1082">
        <v>2013</v>
      </c>
      <c r="E15" s="1705" t="s">
        <v>1614</v>
      </c>
      <c r="G15" s="1074" t="s">
        <v>1615</v>
      </c>
      <c r="H15" s="1074" t="s">
        <v>1616</v>
      </c>
      <c r="I15" s="1085" t="s">
        <v>162</v>
      </c>
      <c r="J15" s="1096" t="s">
        <v>745</v>
      </c>
      <c r="N15" s="1165" t="s">
        <v>1617</v>
      </c>
      <c r="X15" s="1094"/>
      <c r="AW15" s="1127" t="s">
        <v>157</v>
      </c>
      <c r="AX15" s="1127" t="s">
        <v>157</v>
      </c>
      <c r="AZ15" s="1127" t="s">
        <v>1536</v>
      </c>
      <c r="BB15" s="1127" t="s">
        <v>1618</v>
      </c>
      <c r="BC15" s="1127" t="s">
        <v>1602</v>
      </c>
      <c r="BE15" s="1127">
        <v>2013</v>
      </c>
      <c r="BH15" s="1075" t="s">
        <v>1541</v>
      </c>
      <c r="BJ15" s="1224" t="s">
        <v>1619</v>
      </c>
      <c r="BL15" s="1224" t="s">
        <v>1619</v>
      </c>
      <c r="BN15" s="1075" t="s">
        <v>1620</v>
      </c>
      <c r="BR15" s="1077"/>
      <c r="BS15" s="1438"/>
      <c r="BT15" s="1077"/>
      <c r="BU15" s="1077"/>
      <c r="BV15" s="1077"/>
      <c r="BW15" s="1701"/>
      <c r="BX15" s="1697"/>
    </row>
    <row customHeight="1" ht="21">
      <c r="A16" s="1877" t="s">
        <v>1621</v>
      </c>
      <c r="B16" s="1082">
        <v>2014</v>
      </c>
      <c r="E16" s="1706" t="s">
        <v>1622</v>
      </c>
      <c r="G16" s="1083" t="s">
        <v>1623</v>
      </c>
      <c r="H16" s="1083" t="s">
        <v>1624</v>
      </c>
      <c r="I16" s="1085" t="s">
        <v>167</v>
      </c>
      <c r="J16" s="1096" t="s">
        <v>718</v>
      </c>
      <c r="N16" s="1165" t="s">
        <v>1625</v>
      </c>
      <c r="AW16" s="1127" t="s">
        <v>162</v>
      </c>
      <c r="AX16" s="1127" t="s">
        <v>162</v>
      </c>
      <c r="AZ16" s="1127" t="s">
        <v>1552</v>
      </c>
      <c r="BB16" s="1127" t="s">
        <v>1626</v>
      </c>
      <c r="BC16" s="1127" t="s">
        <v>1602</v>
      </c>
      <c r="BE16" s="1127">
        <v>2014</v>
      </c>
      <c r="BH16" s="1075" t="s">
        <v>1557</v>
      </c>
      <c r="BJ16" s="1224" t="s">
        <v>1627</v>
      </c>
      <c r="BL16" s="1224" t="s">
        <v>1627</v>
      </c>
      <c r="BN16" s="1075" t="s">
        <v>1628</v>
      </c>
      <c r="BR16" s="1077"/>
      <c r="BS16" s="1438"/>
      <c r="BT16" s="1077"/>
      <c r="BU16" s="1077"/>
      <c r="BV16" s="1077"/>
      <c r="BW16" s="1701"/>
      <c r="BX16" s="1697"/>
    </row>
    <row customHeight="1" ht="21">
      <c r="A17" s="1081" t="s">
        <v>1629</v>
      </c>
      <c r="B17" s="1082">
        <v>2015</v>
      </c>
      <c r="G17" s="1083" t="s">
        <v>1577</v>
      </c>
      <c r="H17" s="1083" t="s">
        <v>1577</v>
      </c>
      <c r="I17" s="1083" t="s">
        <v>172</v>
      </c>
      <c r="N17" s="1165" t="s">
        <v>1630</v>
      </c>
      <c r="X17" s="1094"/>
      <c r="AW17" s="1127" t="s">
        <v>167</v>
      </c>
      <c r="AX17" s="1127" t="s">
        <v>167</v>
      </c>
      <c r="AZ17" s="1127" t="s">
        <v>1631</v>
      </c>
      <c r="BB17" s="1127" t="s">
        <v>1632</v>
      </c>
      <c r="BC17" s="1127" t="s">
        <v>1486</v>
      </c>
      <c r="BE17" s="1127">
        <v>2015</v>
      </c>
      <c r="BH17" s="1075" t="s">
        <v>1573</v>
      </c>
      <c r="BJ17" s="1224" t="s">
        <v>1633</v>
      </c>
      <c r="BL17" s="1224" t="s">
        <v>1633</v>
      </c>
      <c r="BN17" s="1075" t="s">
        <v>1634</v>
      </c>
      <c r="BR17" s="1074" t="s">
        <v>1428</v>
      </c>
      <c r="BS17" s="1435"/>
      <c r="BU17" s="1074" t="s">
        <v>1635</v>
      </c>
      <c r="BV17" s="1077"/>
      <c r="BW17" s="1697"/>
      <c r="BX17" s="1699" t="s">
        <v>1636</v>
      </c>
      <c r="CA17" s="1074" t="s">
        <v>1637</v>
      </c>
      <c r="CD17" s="1074" t="s">
        <v>1638</v>
      </c>
    </row>
    <row customHeight="1" ht="21">
      <c r="A18" s="1081" t="s">
        <v>1639</v>
      </c>
      <c r="B18" s="1082">
        <v>2016</v>
      </c>
      <c r="E18" s="2012" t="s">
        <v>1640</v>
      </c>
      <c r="I18" s="1083" t="s">
        <v>177</v>
      </c>
      <c r="N18" s="1165" t="s">
        <v>1641</v>
      </c>
      <c r="X18" s="1094"/>
      <c r="AW18" s="1127" t="s">
        <v>172</v>
      </c>
      <c r="AX18" s="1127" t="s">
        <v>172</v>
      </c>
      <c r="BB18" s="1127" t="s">
        <v>1642</v>
      </c>
      <c r="BC18" s="1127" t="s">
        <v>1486</v>
      </c>
      <c r="BE18" s="1127">
        <v>2016</v>
      </c>
      <c r="BH18" s="1075" t="s">
        <v>1587</v>
      </c>
      <c r="BJ18" s="1224" t="s">
        <v>1643</v>
      </c>
      <c r="BL18" s="1224" t="s">
        <v>1643</v>
      </c>
      <c r="BN18" s="1075" t="s">
        <v>1644</v>
      </c>
      <c r="BQ18" s="1439" t="s">
        <v>1458</v>
      </c>
      <c r="BR18" s="1166" t="s">
        <v>1459</v>
      </c>
      <c r="BS18" s="281"/>
      <c r="BT18" s="1439" t="s">
        <v>1645</v>
      </c>
      <c r="BU18" s="1166" t="s">
        <v>1646</v>
      </c>
      <c r="BV18" s="1077"/>
      <c r="BW18" s="1704" t="s">
        <v>1647</v>
      </c>
      <c r="BX18" s="1698" t="s">
        <v>1648</v>
      </c>
      <c r="BZ18" s="1439" t="s">
        <v>1649</v>
      </c>
      <c r="CA18" s="1166" t="s">
        <v>1650</v>
      </c>
      <c r="CC18" s="1439" t="s">
        <v>1651</v>
      </c>
      <c r="CD18" s="1166" t="s">
        <v>1652</v>
      </c>
    </row>
    <row customHeight="1" ht="21">
      <c r="A19" s="1877" t="s">
        <v>1653</v>
      </c>
      <c r="B19" s="1082">
        <v>2017</v>
      </c>
      <c r="E19" s="1081" t="s">
        <v>251</v>
      </c>
      <c r="I19" s="1083" t="s">
        <v>182</v>
      </c>
      <c r="N19" s="1165" t="s">
        <v>1654</v>
      </c>
      <c r="X19" s="1094"/>
      <c r="AW19" s="1127" t="s">
        <v>177</v>
      </c>
      <c r="AX19" s="1127" t="s">
        <v>177</v>
      </c>
      <c r="AZ19" s="1074" t="s">
        <v>1655</v>
      </c>
      <c r="BB19" s="1127" t="s">
        <v>1656</v>
      </c>
      <c r="BC19" s="1127" t="s">
        <v>1486</v>
      </c>
      <c r="BE19" s="1127">
        <v>2017</v>
      </c>
      <c r="BH19" s="1075" t="s">
        <v>1657</v>
      </c>
      <c r="BJ19" s="1224" t="s">
        <v>1658</v>
      </c>
      <c r="BL19" s="1224" t="s">
        <v>1658</v>
      </c>
      <c r="BQ19" s="1288">
        <v>4190064</v>
      </c>
      <c r="BR19" s="1075" t="s">
        <v>1659</v>
      </c>
      <c r="BS19" s="1436"/>
      <c r="BT19" s="1288">
        <v>4189671</v>
      </c>
      <c r="BU19" s="1075" t="s">
        <v>309</v>
      </c>
      <c r="BV19" s="1077"/>
      <c r="BW19" s="1702">
        <v>4189706</v>
      </c>
      <c r="BX19" s="1700" t="s">
        <v>1660</v>
      </c>
      <c r="BZ19" s="1288">
        <v>4189714</v>
      </c>
      <c r="CA19" s="1075" t="s">
        <v>1661</v>
      </c>
      <c r="CC19" s="1288">
        <v>4189708</v>
      </c>
      <c r="CD19" s="1075" t="s">
        <v>1662</v>
      </c>
    </row>
    <row customHeight="1" ht="21">
      <c r="A20" s="1081" t="s">
        <v>1663</v>
      </c>
      <c r="B20" s="1082">
        <v>2018</v>
      </c>
      <c r="E20" s="1081" t="s">
        <v>1417</v>
      </c>
      <c r="I20" s="1083" t="s">
        <v>184</v>
      </c>
      <c r="N20" s="1165" t="s">
        <v>1664</v>
      </c>
      <c r="AW20" s="1127" t="s">
        <v>182</v>
      </c>
      <c r="AX20" s="1127" t="s">
        <v>182</v>
      </c>
      <c r="AZ20" s="1127" t="s">
        <v>1665</v>
      </c>
      <c r="BB20" s="1127" t="s">
        <v>1666</v>
      </c>
      <c r="BC20" s="1127" t="s">
        <v>1602</v>
      </c>
      <c r="BE20" s="1127">
        <v>2018</v>
      </c>
      <c r="BH20" s="1075" t="s">
        <v>1598</v>
      </c>
      <c r="BJ20" s="1075" t="s">
        <v>1525</v>
      </c>
      <c r="BL20" s="1075" t="s">
        <v>1525</v>
      </c>
      <c r="BQ20" s="1288">
        <v>4190065</v>
      </c>
      <c r="BR20" s="1075" t="s">
        <v>1667</v>
      </c>
      <c r="BS20" s="1436"/>
      <c r="BT20" s="1288">
        <v>4189672</v>
      </c>
      <c r="BU20" s="1075" t="s">
        <v>1668</v>
      </c>
      <c r="BV20" s="1077"/>
      <c r="BW20" s="1702">
        <v>4189705</v>
      </c>
      <c r="BX20" s="1700" t="s">
        <v>1669</v>
      </c>
      <c r="BZ20" s="1288">
        <v>4189713</v>
      </c>
      <c r="CA20" s="1075" t="s">
        <v>1669</v>
      </c>
      <c r="CC20" s="1288">
        <v>4189709</v>
      </c>
      <c r="CD20" s="1075" t="s">
        <v>1670</v>
      </c>
    </row>
    <row customHeight="1" ht="21">
      <c r="A21" s="1081" t="s">
        <v>1671</v>
      </c>
      <c r="B21" s="1082">
        <v>2019</v>
      </c>
      <c r="I21" s="1083" t="s">
        <v>190</v>
      </c>
      <c r="N21" s="1165" t="s">
        <v>1672</v>
      </c>
      <c r="AW21" s="1127" t="s">
        <v>184</v>
      </c>
      <c r="AX21" s="1127" t="s">
        <v>184</v>
      </c>
      <c r="AZ21" s="1127" t="s">
        <v>1673</v>
      </c>
      <c r="BB21" s="1127" t="s">
        <v>1674</v>
      </c>
      <c r="BC21" s="1127" t="s">
        <v>1486</v>
      </c>
      <c r="BE21" s="1127">
        <v>2019</v>
      </c>
      <c r="BH21" s="1075" t="s">
        <v>1605</v>
      </c>
      <c r="BJ21" s="1075" t="s">
        <v>1541</v>
      </c>
      <c r="BL21" s="1075" t="s">
        <v>1541</v>
      </c>
      <c r="BQ21" s="1288">
        <v>4190066</v>
      </c>
      <c r="BR21" s="1075" t="s">
        <v>1675</v>
      </c>
      <c r="BS21" s="1436"/>
      <c r="BT21" s="1288">
        <v>4189673</v>
      </c>
      <c r="BU21" s="1075" t="s">
        <v>1676</v>
      </c>
      <c r="BV21" s="1077"/>
      <c r="BW21" s="1702">
        <v>4189707</v>
      </c>
      <c r="BX21" s="1700" t="s">
        <v>1677</v>
      </c>
      <c r="BZ21" s="1288">
        <v>4189712</v>
      </c>
      <c r="CA21" s="1075" t="s">
        <v>1678</v>
      </c>
      <c r="CC21" s="1288">
        <v>4189710</v>
      </c>
      <c r="CD21" s="1075" t="s">
        <v>1679</v>
      </c>
    </row>
    <row customHeight="1" ht="21">
      <c r="A22" s="1081" t="s">
        <v>1680</v>
      </c>
      <c r="B22" s="1082">
        <v>2020</v>
      </c>
      <c r="N22" s="1165" t="s">
        <v>1681</v>
      </c>
      <c r="AW22" s="1127" t="s">
        <v>190</v>
      </c>
      <c r="AX22" s="1127" t="s">
        <v>190</v>
      </c>
      <c r="AZ22" s="1127" t="s">
        <v>1682</v>
      </c>
      <c r="BB22" s="1127" t="s">
        <v>1683</v>
      </c>
      <c r="BC22" s="1127" t="s">
        <v>1486</v>
      </c>
      <c r="BE22" s="1127">
        <v>2020</v>
      </c>
      <c r="BH22" s="1075" t="s">
        <v>1612</v>
      </c>
      <c r="BJ22" s="1075" t="s">
        <v>1557</v>
      </c>
      <c r="BL22" s="1075" t="s">
        <v>1557</v>
      </c>
      <c r="BQ22" s="1288">
        <v>4190067</v>
      </c>
      <c r="BR22" s="1075" t="s">
        <v>1684</v>
      </c>
      <c r="BS22" s="1436"/>
      <c r="BT22" s="1288">
        <v>4189674</v>
      </c>
      <c r="BU22" s="1075" t="s">
        <v>1685</v>
      </c>
      <c r="BV22" s="1077"/>
      <c r="BW22" s="1077"/>
      <c r="CC22" s="1288">
        <v>4189711</v>
      </c>
      <c r="CD22" s="1075" t="s">
        <v>456</v>
      </c>
    </row>
    <row customHeight="1" ht="21">
      <c r="A23" s="1081" t="s">
        <v>1686</v>
      </c>
      <c r="B23" s="1082">
        <v>2021</v>
      </c>
      <c r="AW23" s="1127" t="s">
        <v>194</v>
      </c>
      <c r="AX23" s="1127" t="s">
        <v>194</v>
      </c>
      <c r="AZ23" s="1127" t="s">
        <v>1687</v>
      </c>
      <c r="BB23" s="1127" t="s">
        <v>1688</v>
      </c>
      <c r="BC23" s="1127" t="s">
        <v>1396</v>
      </c>
      <c r="BE23" s="1127">
        <v>2021</v>
      </c>
      <c r="BH23" s="1075" t="s">
        <v>1620</v>
      </c>
      <c r="BJ23" s="1075" t="s">
        <v>1573</v>
      </c>
      <c r="BL23" s="1075" t="s">
        <v>1573</v>
      </c>
      <c r="BQ23" s="1288">
        <v>4190068</v>
      </c>
      <c r="BR23" s="1075" t="s">
        <v>1689</v>
      </c>
      <c r="BS23" s="1436"/>
      <c r="BT23" s="1288">
        <v>4189675</v>
      </c>
      <c r="BU23" s="1075" t="s">
        <v>1690</v>
      </c>
      <c r="BV23" s="1077"/>
      <c r="BW23" s="1077"/>
      <c r="CC23" s="1288">
        <v>5110778</v>
      </c>
      <c r="CD23" s="1075" t="s">
        <v>1691</v>
      </c>
    </row>
    <row customHeight="1" ht="21">
      <c r="A24" s="1081" t="s">
        <v>1692</v>
      </c>
      <c r="B24" s="1082">
        <v>2022</v>
      </c>
      <c r="AW24" s="1127" t="s">
        <v>1693</v>
      </c>
      <c r="AX24" s="1127" t="s">
        <v>1693</v>
      </c>
      <c r="AZ24" s="1127" t="s">
        <v>1694</v>
      </c>
      <c r="BB24" s="1127" t="s">
        <v>1695</v>
      </c>
      <c r="BC24" s="1127" t="s">
        <v>1696</v>
      </c>
      <c r="BE24" s="1127">
        <v>2022</v>
      </c>
      <c r="BH24" s="1075" t="s">
        <v>1628</v>
      </c>
      <c r="BJ24" s="1075" t="s">
        <v>1587</v>
      </c>
      <c r="BL24" s="1075" t="s">
        <v>1587</v>
      </c>
      <c r="BQ24" s="1288">
        <v>4190069</v>
      </c>
      <c r="BR24" s="1075" t="s">
        <v>1697</v>
      </c>
      <c r="BS24" s="1436"/>
      <c r="BT24" s="1288">
        <v>4189676</v>
      </c>
      <c r="BU24" s="1075" t="s">
        <v>1698</v>
      </c>
      <c r="BV24" s="1077"/>
      <c r="BW24" s="1077"/>
      <c r="CC24" s="1288">
        <v>25575374</v>
      </c>
      <c r="CD24" s="1075" t="s">
        <v>1699</v>
      </c>
    </row>
    <row customHeight="1" ht="11.25">
      <c r="A25" s="1081" t="s">
        <v>1700</v>
      </c>
      <c r="B25" s="1082">
        <v>2023</v>
      </c>
      <c r="AW25" s="1127" t="s">
        <v>1701</v>
      </c>
      <c r="AX25" s="1127" t="s">
        <v>1701</v>
      </c>
      <c r="AZ25" s="1127" t="s">
        <v>1702</v>
      </c>
      <c r="BB25" s="1127" t="s">
        <v>1703</v>
      </c>
      <c r="BC25" s="1127" t="s">
        <v>1696</v>
      </c>
      <c r="BE25" s="1127">
        <v>2023</v>
      </c>
      <c r="BH25" s="1075" t="s">
        <v>1634</v>
      </c>
      <c r="BJ25" s="1075" t="s">
        <v>1657</v>
      </c>
      <c r="BL25" s="1075" t="s">
        <v>1657</v>
      </c>
      <c r="BQ25" s="1288">
        <v>4190070</v>
      </c>
      <c r="BR25" s="1075" t="s">
        <v>1704</v>
      </c>
      <c r="BS25" s="1436"/>
      <c r="BT25" s="1288">
        <v>4189677</v>
      </c>
      <c r="BU25" s="1075" t="s">
        <v>1705</v>
      </c>
      <c r="BV25" s="1077"/>
      <c r="BW25" s="1077"/>
    </row>
    <row customHeight="1" ht="11.25">
      <c r="A26" s="1081" t="s">
        <v>1706</v>
      </c>
      <c r="B26" s="1082">
        <v>2024</v>
      </c>
      <c r="J26" s="1738" t="s">
        <v>1707</v>
      </c>
      <c r="AX26" s="1127" t="s">
        <v>1708</v>
      </c>
      <c r="AZ26" s="1127" t="s">
        <v>1580</v>
      </c>
      <c r="BB26" s="1127" t="s">
        <v>1709</v>
      </c>
      <c r="BC26" s="1127" t="s">
        <v>1696</v>
      </c>
      <c r="BE26" s="1127">
        <v>2024</v>
      </c>
      <c r="BH26" s="1075" t="s">
        <v>1644</v>
      </c>
      <c r="BJ26" s="1075" t="s">
        <v>1598</v>
      </c>
      <c r="BL26" s="1075" t="s">
        <v>1598</v>
      </c>
      <c r="BQ26" s="1288">
        <v>4190071</v>
      </c>
      <c r="BR26" s="1075" t="s">
        <v>1710</v>
      </c>
      <c r="BS26" s="1436"/>
      <c r="BV26" s="1077"/>
      <c r="BW26" s="1077"/>
    </row>
    <row customHeight="1" ht="11.25">
      <c r="A27" s="1081" t="s">
        <v>1711</v>
      </c>
      <c r="B27" s="1082">
        <v>2025</v>
      </c>
      <c r="J27" s="183" t="s">
        <v>102</v>
      </c>
      <c r="AX27" s="1127" t="s">
        <v>1712</v>
      </c>
      <c r="BB27" s="1127" t="s">
        <v>1713</v>
      </c>
      <c r="BC27" s="1127" t="s">
        <v>1696</v>
      </c>
      <c r="BE27" s="1127">
        <v>2025</v>
      </c>
      <c r="BH27" s="1077" t="s">
        <v>28</v>
      </c>
      <c r="BJ27" s="1075" t="s">
        <v>1605</v>
      </c>
      <c r="BL27" s="1075" t="s">
        <v>1605</v>
      </c>
      <c r="BN27" s="1077" t="s">
        <v>28</v>
      </c>
      <c r="BQ27" s="1288">
        <v>4190072</v>
      </c>
      <c r="BR27" s="1075" t="s">
        <v>1714</v>
      </c>
      <c r="BS27" s="1436"/>
      <c r="BV27" s="1077"/>
      <c r="BW27" s="1077"/>
    </row>
    <row customHeight="1" ht="11.25">
      <c r="A28" s="1081" t="s">
        <v>1715</v>
      </c>
      <c r="D28" s="1108"/>
      <c r="E28" s="1109"/>
      <c r="F28" s="1109"/>
      <c r="H28" s="1110" t="s">
        <v>1716</v>
      </c>
      <c r="AX28" s="1127" t="s">
        <v>1717</v>
      </c>
      <c r="AZ28" s="1074" t="s">
        <v>1718</v>
      </c>
      <c r="BB28" s="1127" t="s">
        <v>1719</v>
      </c>
      <c r="BC28" s="1127" t="s">
        <v>1720</v>
      </c>
      <c r="BE28" s="1127">
        <v>2026</v>
      </c>
      <c r="BH28" s="1077" t="s">
        <v>28</v>
      </c>
      <c r="BJ28" s="1075" t="s">
        <v>1612</v>
      </c>
      <c r="BL28" s="1075" t="s">
        <v>1612</v>
      </c>
      <c r="BN28" s="1077" t="s">
        <v>28</v>
      </c>
      <c r="BQ28" s="1288">
        <v>4190073</v>
      </c>
      <c r="BR28" s="1075" t="s">
        <v>1721</v>
      </c>
      <c r="BS28" s="1436"/>
      <c r="BV28" s="1077"/>
      <c r="BW28" s="1077"/>
    </row>
    <row customHeight="1" ht="11.25">
      <c r="A29" s="1081" t="s">
        <v>1722</v>
      </c>
      <c r="D29" s="1111" t="s">
        <v>1723</v>
      </c>
      <c r="E29" s="1112" t="str">
        <f>IF(TEMPLATE_GROUP="","",INDEX(StartDateList,MATCH(TEMPLATE_GROUP,CodeTemplateList,0),1))</f>
        <v>01.01.2022</v>
      </c>
      <c r="F29" s="1112" t="str">
        <f>IF(TEMPLATE_GROUP="","",INDEX(EndDateList,MATCH(TEMPLATE_GROUP,CodeTemplateList,0),1))</f>
        <v>31.12.2027</v>
      </c>
      <c r="H29" s="1113" t="s">
        <v>1724</v>
      </c>
      <c r="AX29" s="1127" t="s">
        <v>1725</v>
      </c>
      <c r="AZ29" s="1127" t="s">
        <v>1380</v>
      </c>
      <c r="BB29" s="1127" t="s">
        <v>1580</v>
      </c>
      <c r="BC29" s="1098"/>
      <c r="BE29" s="1127">
        <v>2027</v>
      </c>
      <c r="BJ29" s="1075" t="s">
        <v>1620</v>
      </c>
      <c r="BL29" s="1075" t="s">
        <v>1620</v>
      </c>
    </row>
    <row customHeight="1" ht="11.25">
      <c r="A30" s="1081" t="s">
        <v>1726</v>
      </c>
      <c r="D30" s="1114"/>
      <c r="E30" s="1115"/>
      <c r="F30" s="1115"/>
      <c r="AX30" s="1127" t="s">
        <v>1727</v>
      </c>
      <c r="AZ30" s="1127" t="s">
        <v>1406</v>
      </c>
      <c r="BE30" s="1127">
        <v>2028</v>
      </c>
      <c r="BJ30" s="1075" t="s">
        <v>1728</v>
      </c>
      <c r="BL30" s="1075" t="s">
        <v>1728</v>
      </c>
    </row>
    <row customHeight="1" ht="12.75">
      <c r="A31" s="1081" t="s">
        <v>1729</v>
      </c>
      <c r="D31" s="1108"/>
      <c r="E31" s="1109"/>
      <c r="F31" s="1109"/>
      <c r="H31" s="1116"/>
      <c r="AX31" s="1127" t="s">
        <v>1730</v>
      </c>
      <c r="AZ31" s="1127" t="s">
        <v>1731</v>
      </c>
      <c r="BE31" s="1127">
        <v>2029</v>
      </c>
      <c r="BJ31" s="1075" t="s">
        <v>1732</v>
      </c>
      <c r="BL31" s="1075" t="s">
        <v>1732</v>
      </c>
    </row>
    <row customHeight="1" ht="11.25">
      <c r="A32" s="1081" t="s">
        <v>1733</v>
      </c>
      <c r="D32" s="1111" t="s">
        <v>1734</v>
      </c>
      <c r="E32" s="1112" t="str">
        <f>IF(TEMPLATE_GROUP="","",INDEX(StartDateList,MATCH(TEMPLATE_GROUP,CodeTemplateList,0),1))</f>
        <v>01.01.2022</v>
      </c>
      <c r="F32" s="1112" t="str">
        <f>IF(TEMPLATE_GROUP="","",INDEX(EndDateList,MATCH(TEMPLATE_GROUP,CodeTemplateList,0),1))</f>
        <v>31.12.2027</v>
      </c>
      <c r="H32" s="1117" t="s">
        <v>1735</v>
      </c>
      <c r="O32" s="1081" t="s">
        <v>1378</v>
      </c>
      <c r="AX32" s="1127" t="s">
        <v>112</v>
      </c>
      <c r="AZ32" s="1127" t="s">
        <v>1474</v>
      </c>
      <c r="BE32" s="1127">
        <v>2030</v>
      </c>
      <c r="BJ32" s="1075" t="s">
        <v>1628</v>
      </c>
      <c r="BL32" s="1075" t="s">
        <v>1628</v>
      </c>
    </row>
    <row customHeight="1" ht="11.25">
      <c r="A33" s="1081" t="s">
        <v>1736</v>
      </c>
      <c r="O33" s="1081" t="s">
        <v>1404</v>
      </c>
      <c r="AX33" s="1127" t="s">
        <v>1737</v>
      </c>
      <c r="AZ33" s="1127" t="s">
        <v>656</v>
      </c>
      <c r="BE33" s="1127">
        <v>2031</v>
      </c>
      <c r="BJ33" s="1075" t="s">
        <v>1634</v>
      </c>
      <c r="BL33" s="1075" t="s">
        <v>1634</v>
      </c>
    </row>
    <row customHeight="1" ht="11.25">
      <c r="A34" s="1081" t="s">
        <v>1738</v>
      </c>
      <c r="O34" s="1081" t="s">
        <v>1439</v>
      </c>
      <c r="AX34" s="1127" t="s">
        <v>1739</v>
      </c>
      <c r="BE34" s="1127">
        <v>2032</v>
      </c>
      <c r="BJ34" s="1075" t="s">
        <v>1644</v>
      </c>
      <c r="BL34" s="1075" t="s">
        <v>1644</v>
      </c>
    </row>
    <row customHeight="1" ht="11.25">
      <c r="A35" s="1081" t="s">
        <v>1740</v>
      </c>
      <c r="O35" s="1081" t="s">
        <v>1472</v>
      </c>
      <c r="AX35" s="1127" t="s">
        <v>1741</v>
      </c>
      <c r="AZ35" s="1074" t="s">
        <v>1742</v>
      </c>
      <c r="BE35" s="1127">
        <v>2033</v>
      </c>
      <c r="BL35" s="1075" t="s">
        <v>1743</v>
      </c>
    </row>
    <row customHeight="1" ht="11.25">
      <c r="A36" s="1877" t="s">
        <v>1744</v>
      </c>
      <c r="D36" s="1118" t="s">
        <v>1745</v>
      </c>
      <c r="E36" s="1119" t="s">
        <v>1015</v>
      </c>
      <c r="F36" s="1120" t="str">
        <f>INDEX(E37:E41,MATCH(TEMPLATE_SPHERE,F37:F41,0))</f>
        <v>холодного водоснабжения</v>
      </c>
      <c r="G36" s="1120" t="str">
        <f>INDEX(G37:G41,MATCH(TEMPLATE_SPHERE,F37:F41,0))</f>
        <v>холодное водоснабжение</v>
      </c>
      <c r="O36" s="1081" t="s">
        <v>1496</v>
      </c>
      <c r="AX36" s="1127" t="s">
        <v>1746</v>
      </c>
      <c r="AZ36" s="1127" t="s">
        <v>656</v>
      </c>
      <c r="BE36" s="1127">
        <v>2034</v>
      </c>
      <c r="BL36" s="1075" t="s">
        <v>1747</v>
      </c>
    </row>
    <row customHeight="1" ht="11.25">
      <c r="A37" s="1081" t="s">
        <v>1748</v>
      </c>
      <c r="E37" s="414" t="s">
        <v>1749</v>
      </c>
      <c r="F37" s="1121" t="s">
        <v>969</v>
      </c>
      <c r="G37" s="414" t="s">
        <v>1750</v>
      </c>
      <c r="O37" s="1081" t="s">
        <v>1515</v>
      </c>
      <c r="AX37" s="1127" t="s">
        <v>1751</v>
      </c>
      <c r="AZ37" s="1127" t="s">
        <v>1405</v>
      </c>
      <c r="BE37" s="1127">
        <v>2035</v>
      </c>
    </row>
    <row customHeight="1" ht="11.25">
      <c r="A38" s="1081" t="s">
        <v>1752</v>
      </c>
      <c r="E38" s="414" t="s">
        <v>1753</v>
      </c>
      <c r="F38" s="1122" t="s">
        <v>1015</v>
      </c>
      <c r="G38" s="414" t="s">
        <v>1754</v>
      </c>
      <c r="O38" s="1081" t="s">
        <v>1532</v>
      </c>
      <c r="AX38" s="1127" t="s">
        <v>1755</v>
      </c>
      <c r="AZ38" s="1127" t="s">
        <v>1440</v>
      </c>
      <c r="BE38" s="1127">
        <v>2036</v>
      </c>
      <c r="BH38" s="1074" t="s">
        <v>1756</v>
      </c>
      <c r="BJ38" s="1074" t="s">
        <v>1757</v>
      </c>
      <c r="BL38" s="1074" t="s">
        <v>1758</v>
      </c>
      <c r="BN38" s="1074" t="s">
        <v>1759</v>
      </c>
    </row>
    <row customHeight="1" ht="11.25">
      <c r="A39" s="1081" t="s">
        <v>1760</v>
      </c>
      <c r="E39" s="414" t="s">
        <v>1761</v>
      </c>
      <c r="F39" s="1122" t="s">
        <v>1068</v>
      </c>
      <c r="G39" s="414" t="s">
        <v>1762</v>
      </c>
      <c r="O39" s="1081" t="s">
        <v>1548</v>
      </c>
      <c r="AX39" s="1127" t="s">
        <v>1763</v>
      </c>
      <c r="AZ39" s="1127" t="s">
        <v>1473</v>
      </c>
      <c r="BE39" s="1127">
        <v>2037</v>
      </c>
      <c r="BH39" s="1075" t="s">
        <v>1764</v>
      </c>
      <c r="BJ39" s="1224" t="s">
        <v>1764</v>
      </c>
      <c r="BL39" s="1224" t="s">
        <v>1764</v>
      </c>
      <c r="BN39" s="1075" t="s">
        <v>1765</v>
      </c>
    </row>
    <row customHeight="1" ht="11.25">
      <c r="A40" s="1081" t="s">
        <v>1766</v>
      </c>
      <c r="E40" s="414" t="s">
        <v>1767</v>
      </c>
      <c r="F40" s="1122" t="s">
        <v>1055</v>
      </c>
      <c r="G40" s="414" t="s">
        <v>1768</v>
      </c>
      <c r="O40" s="1081" t="s">
        <v>1564</v>
      </c>
      <c r="AX40" s="1127" t="s">
        <v>116</v>
      </c>
      <c r="BE40" s="1127">
        <v>2038</v>
      </c>
      <c r="BH40" s="1075" t="s">
        <v>1769</v>
      </c>
      <c r="BJ40" s="1224" t="s">
        <v>1188</v>
      </c>
      <c r="BL40" s="1224" t="s">
        <v>1188</v>
      </c>
      <c r="BN40" s="1075" t="s">
        <v>1222</v>
      </c>
    </row>
    <row customHeight="1" ht="11.25">
      <c r="A41" s="1081" t="s">
        <v>1770</v>
      </c>
      <c r="E41" s="414" t="s">
        <v>1771</v>
      </c>
      <c r="F41" s="1122" t="s">
        <v>1772</v>
      </c>
      <c r="G41" s="414" t="s">
        <v>1771</v>
      </c>
      <c r="O41" s="1081" t="s">
        <v>1580</v>
      </c>
      <c r="AX41" s="1127" t="s">
        <v>1773</v>
      </c>
      <c r="AZ41" s="1074" t="s">
        <v>1774</v>
      </c>
      <c r="BE41" s="1127">
        <v>2039</v>
      </c>
      <c r="BH41" s="1075" t="s">
        <v>1775</v>
      </c>
      <c r="BJ41" s="1224" t="s">
        <v>1184</v>
      </c>
      <c r="BL41" s="1224" t="s">
        <v>1184</v>
      </c>
      <c r="BN41" s="1075" t="s">
        <v>1209</v>
      </c>
    </row>
    <row customHeight="1" ht="11.25">
      <c r="A42" s="1081" t="s">
        <v>1776</v>
      </c>
      <c r="AX42" s="1127" t="s">
        <v>1777</v>
      </c>
      <c r="AZ42" s="1127" t="s">
        <v>1378</v>
      </c>
      <c r="BE42" s="1127">
        <v>2040</v>
      </c>
      <c r="BH42" s="1075" t="s">
        <v>1206</v>
      </c>
      <c r="BJ42" s="1224" t="s">
        <v>1186</v>
      </c>
      <c r="BL42" s="1224" t="s">
        <v>1186</v>
      </c>
      <c r="BN42" s="1075" t="s">
        <v>1778</v>
      </c>
    </row>
    <row customHeight="1" ht="11.25">
      <c r="A43" s="1081" t="s">
        <v>1779</v>
      </c>
      <c r="AX43" s="1127" t="s">
        <v>121</v>
      </c>
      <c r="AZ43" s="1127" t="s">
        <v>1404</v>
      </c>
      <c r="BE43" s="1127">
        <v>2041</v>
      </c>
      <c r="BH43" s="1075" t="s">
        <v>1780</v>
      </c>
      <c r="BJ43" s="1224" t="s">
        <v>1775</v>
      </c>
      <c r="BL43" s="1224" t="s">
        <v>1775</v>
      </c>
      <c r="BN43" s="1075" t="s">
        <v>1781</v>
      </c>
    </row>
    <row customHeight="1" ht="11.25">
      <c r="A44" s="1081" t="s">
        <v>1782</v>
      </c>
      <c r="G44" s="1101">
        <f>YEAR(TODAY())</f>
        <v>2024</v>
      </c>
      <c r="I44" s="806" t="s">
        <v>1783</v>
      </c>
      <c r="J44" s="1096" t="s">
        <v>1784</v>
      </c>
      <c r="K44" s="1096" t="s">
        <v>1785</v>
      </c>
      <c r="AX44" s="1127" t="s">
        <v>1786</v>
      </c>
      <c r="AZ44" s="1127" t="s">
        <v>1439</v>
      </c>
      <c r="BE44" s="1127">
        <v>2042</v>
      </c>
      <c r="BH44" s="1075" t="s">
        <v>1787</v>
      </c>
      <c r="BJ44" s="1224" t="s">
        <v>1206</v>
      </c>
      <c r="BL44" s="1224" t="s">
        <v>1206</v>
      </c>
      <c r="BN44" s="1075" t="s">
        <v>1788</v>
      </c>
    </row>
    <row customHeight="1" ht="11.25">
      <c r="A45" s="1081" t="s">
        <v>1789</v>
      </c>
      <c r="D45" s="1118" t="s">
        <v>1790</v>
      </c>
      <c r="E45" s="1119" t="s">
        <v>1791</v>
      </c>
      <c r="F45" s="804" t="s">
        <v>1792</v>
      </c>
      <c r="G45" s="803" t="s">
        <v>1793</v>
      </c>
      <c r="H45" s="806" t="s">
        <v>1794</v>
      </c>
      <c r="I45" s="1748">
        <f>INDEX(PeriodIsEmptyList,MATCH(TEMPLATE_GROUP,CodeTemplateList,0),1)</f>
        <v>0</v>
      </c>
      <c r="J45" s="1751" t="str">
        <f>INDEX(NameTemplatesInTitleList,MATCH(TEMPLATE_GROUP,CodeTemplateList,0),1)</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51"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7" t="s">
        <v>1795</v>
      </c>
      <c r="AZ45" s="1127" t="s">
        <v>1472</v>
      </c>
      <c r="BE45" s="1127">
        <v>2043</v>
      </c>
      <c r="BH45" s="1075" t="s">
        <v>1796</v>
      </c>
      <c r="BJ45" s="1224" t="s">
        <v>1200</v>
      </c>
      <c r="BL45" s="1224" t="s">
        <v>1200</v>
      </c>
      <c r="BN45" s="1075" t="s">
        <v>1797</v>
      </c>
    </row>
    <row customHeight="1" ht="11.25">
      <c r="A46" s="1081" t="s">
        <v>1798</v>
      </c>
      <c r="E46" s="414" t="s">
        <v>26</v>
      </c>
      <c r="F46" s="1121" t="s">
        <v>1799</v>
      </c>
      <c r="G46" s="1123" t="str">
        <f>_xlfn.IFERROR(IF(TITLE_DATE_FIL="","01.01."&amp;CURRENT_YEAR,"01.01."&amp;YEAR(TITLE_DATE_FIL)),"01.01."&amp;CURRENT_YEAR)</f>
        <v>01.01.2024</v>
      </c>
      <c r="H46" s="1123" t="str">
        <f>_xlfn.IFERROR(IF(TITLE_DATE_FIL="","31.12."&amp;CURRENT_YEAR,"31.12."&amp;YEAR(TITLE_DATE_FIL)),"31.12."&amp;CURRENT_YEAR)</f>
        <v>31.12.2024</v>
      </c>
      <c r="I46" s="1749">
        <f>IF(TITLE_DATE_FIL="",TRUE,FALSE)</f>
        <v>1</v>
      </c>
      <c r="J46" s="1752" t="str">
        <f>"Общая информация о регулируемой организации ("&amp;TEMPLATE_SPHERE_RUS&amp;")"</f>
        <v>Общая информация о регулируемой организации (холодного водоснабжения)</v>
      </c>
      <c r="K46" s="1753"/>
      <c r="AX46" s="1127" t="s">
        <v>1800</v>
      </c>
      <c r="AZ46" s="1127" t="s">
        <v>1496</v>
      </c>
      <c r="BE46" s="1127">
        <v>2044</v>
      </c>
      <c r="BH46" s="1075" t="s">
        <v>1209</v>
      </c>
      <c r="BJ46" s="1224" t="s">
        <v>1190</v>
      </c>
      <c r="BL46" s="1224" t="s">
        <v>1190</v>
      </c>
      <c r="BN46" s="1075" t="s">
        <v>1801</v>
      </c>
    </row>
    <row customHeight="1" ht="11.25">
      <c r="A47" s="1081" t="s">
        <v>1802</v>
      </c>
      <c r="E47" s="414" t="s">
        <v>33</v>
      </c>
      <c r="F47" s="1122" t="s">
        <v>1803</v>
      </c>
      <c r="G47" s="1123" t="str">
        <f>_xlfn.IFERROR(IF(f_year="","01.01."&amp;CURRENT_YEAR,IF(LEN(f_quart)=0,"01.01."&amp;f_year,IF(f_quart="I квартал","01.01."&amp;f_year,IF(f_quart="II квартал","01.04."&amp;f_year,(IF(f_quart="III квартал","01.07."&amp;f_year,"01.10."&amp;f_year)))))),"01.01."&amp;CURRENT_YEAR)</f>
        <v>01.01.2024</v>
      </c>
      <c r="H47" s="1123" t="str">
        <f>_xlfn.IFERROR(IF(f_year="","31.12."&amp;CURRENT_YEAR,IF(LEN(f_quart)=0,"31.12."&amp;f_year,IF(f_quart="I квартал","31.03."&amp;f_year,IF(f_quart="II квартал","30.06."&amp;f_year,(IF(f_quart="III квартал","30.09."&amp;f_year,"31.12."&amp;f_year)))))),"31.12."&amp;CURRENT_YEAR)</f>
        <v>31.12.2024</v>
      </c>
      <c r="I47" s="1750">
        <f>IF(OR(f_year="",f_quart=""),TRUE,FALSE)</f>
        <v>1</v>
      </c>
      <c r="J47" s="1752"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53"/>
      <c r="AX47" s="1127" t="s">
        <v>1804</v>
      </c>
      <c r="AZ47" s="1127" t="s">
        <v>1515</v>
      </c>
      <c r="BE47" s="1127">
        <v>2045</v>
      </c>
      <c r="BH47" s="1075" t="s">
        <v>1778</v>
      </c>
      <c r="BJ47" s="1224" t="s">
        <v>1192</v>
      </c>
      <c r="BL47" s="1224" t="s">
        <v>1192</v>
      </c>
      <c r="BN47" s="1075" t="s">
        <v>1805</v>
      </c>
    </row>
    <row customHeight="1" ht="11.25">
      <c r="A48" s="1081" t="s">
        <v>1806</v>
      </c>
      <c r="E48" s="414" t="s">
        <v>1807</v>
      </c>
      <c r="F48" s="1122" t="s">
        <v>1808</v>
      </c>
      <c r="G48" s="1123" t="str">
        <f>_xlfn.IFERROR(IF(f_year="","01.01."&amp;CURRENT_YEAR,"01.01."&amp;f_year),"01.01."&amp;CURRENT_YEAR)</f>
        <v>01.01.2024</v>
      </c>
      <c r="H48" s="1123" t="str">
        <f>_xlfn.IFERROR(IF(f_year="","31.12."&amp;CURRENT_YEAR,"31.12."&amp;f_year),"31.12."&amp;CURRENT_YEAR)</f>
        <v>31.12.2024</v>
      </c>
      <c r="I48" s="1749">
        <f>IF(f_year="",TRUE,FALSE)</f>
        <v>1</v>
      </c>
      <c r="J48" s="1752" t="s">
        <v>1809</v>
      </c>
      <c r="K48" s="1753"/>
      <c r="AX48" s="1127" t="s">
        <v>1810</v>
      </c>
      <c r="AZ48" s="1127" t="s">
        <v>1532</v>
      </c>
      <c r="BE48" s="1127">
        <v>2046</v>
      </c>
      <c r="BH48" s="1075" t="s">
        <v>1781</v>
      </c>
      <c r="BJ48" s="1224" t="s">
        <v>1194</v>
      </c>
      <c r="BL48" s="1224" t="s">
        <v>1194</v>
      </c>
      <c r="BN48" s="1075" t="s">
        <v>1811</v>
      </c>
    </row>
    <row customHeight="1" ht="11.25">
      <c r="A49" s="1081" t="s">
        <v>1812</v>
      </c>
      <c r="E49" s="414" t="s">
        <v>1813</v>
      </c>
      <c r="F49" s="1122" t="s">
        <v>1814</v>
      </c>
      <c r="G49" s="1123" t="str">
        <f>_xlfn.IFERROR(IF(f_year="","01.01."&amp;CURRENT_YEAR,"01.01."&amp;f_year),"01.01."&amp;CURRENT_YEAR)</f>
        <v>01.01.2024</v>
      </c>
      <c r="H49" s="1123" t="str">
        <f>_xlfn.IFERROR(IF(f_year="","31.12."&amp;CURRENT_YEAR,"31.12."&amp;f_year),"31.12."&amp;CURRENT_YEAR)</f>
        <v>31.12.2024</v>
      </c>
      <c r="I49" s="1749">
        <f>IF(f_year="",TRUE,FALSE)</f>
        <v>1</v>
      </c>
      <c r="J49" s="1752"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53"/>
      <c r="AX49" s="1127" t="s">
        <v>1815</v>
      </c>
      <c r="AZ49" s="1127" t="s">
        <v>1548</v>
      </c>
      <c r="BE49" s="1127">
        <v>2047</v>
      </c>
      <c r="BH49" s="1075" t="s">
        <v>1210</v>
      </c>
      <c r="BJ49" s="1224" t="s">
        <v>1196</v>
      </c>
      <c r="BL49" s="1224" t="s">
        <v>1196</v>
      </c>
    </row>
    <row customHeight="1" ht="11.25">
      <c r="A50" s="1081" t="s">
        <v>1816</v>
      </c>
      <c r="E50" s="414" t="s">
        <v>1817</v>
      </c>
      <c r="F50" s="1122" t="s">
        <v>1180</v>
      </c>
      <c r="G50" s="1123" t="str">
        <f>_xlfn.IFERROR(IF(f_year="","01.01."&amp;CURRENT_YEAR,"01.01."&amp;f_year),"01.01."&amp;CURRENT_YEAR)</f>
        <v>01.01.2024</v>
      </c>
      <c r="H50" s="1123" t="str">
        <f>_xlfn.IFERROR(IF(f_year="","31.12."&amp;CURRENT_YEAR,"31.12."&amp;f_year),"31.12."&amp;CURRENT_YEAR)</f>
        <v>31.12.2024</v>
      </c>
      <c r="I50" s="1749">
        <f>IF(f_year="",TRUE,FALSE)</f>
        <v>1</v>
      </c>
      <c r="J50" s="1752"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53"/>
      <c r="AX50" s="1127" t="s">
        <v>1818</v>
      </c>
      <c r="AZ50" s="1127" t="s">
        <v>1564</v>
      </c>
      <c r="BE50" s="1127">
        <v>2048</v>
      </c>
      <c r="BH50" s="1075" t="s">
        <v>1788</v>
      </c>
      <c r="BJ50" s="1224" t="s">
        <v>1198</v>
      </c>
      <c r="BL50" s="1224" t="s">
        <v>1198</v>
      </c>
    </row>
    <row customHeight="1" ht="11.25">
      <c r="A51" s="1081" t="s">
        <v>1819</v>
      </c>
      <c r="E51" s="414" t="s">
        <v>1820</v>
      </c>
      <c r="F51" s="1122" t="s">
        <v>1791</v>
      </c>
      <c r="G51" s="1123" t="str">
        <f>_xlfn.IFERROR(IF(TITLE_PERIOD_START="","01.01."&amp;CURRENT_YEAR,"01.01."&amp;YEAR(TITLE_PERIOD_START)),"01.01."&amp;CURRENT_YEAR)</f>
        <v>01.01.2022</v>
      </c>
      <c r="H51" s="1123" t="str">
        <f>_xlfn.IFERROR(IF(TITLE_PERIOD_END="","31.12."&amp;CURRENT_YEAR,"31.12."&amp;YEAR(TITLE_PERIOD_END)),"31.12."&amp;CURRENT_YEAR)</f>
        <v>31.12.2027</v>
      </c>
      <c r="I51" s="1750">
        <f>IF(OR(TITLE_PERIOD_START="",TITLE_PERIOD_END=""),TRUE,FALSE)</f>
        <v>0</v>
      </c>
      <c r="J51" s="1752"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53"/>
      <c r="AX51" s="1127" t="s">
        <v>1821</v>
      </c>
      <c r="AZ51" s="1127" t="s">
        <v>1580</v>
      </c>
      <c r="BE51" s="1127">
        <v>2049</v>
      </c>
      <c r="BH51" s="1075" t="s">
        <v>1797</v>
      </c>
      <c r="BJ51" s="1224" t="s">
        <v>1822</v>
      </c>
      <c r="BL51" s="1224" t="s">
        <v>1822</v>
      </c>
    </row>
    <row customHeight="1" ht="11.25">
      <c r="A52" s="1081" t="s">
        <v>1823</v>
      </c>
      <c r="E52" s="414" t="s">
        <v>1824</v>
      </c>
      <c r="F52" s="1122" t="s">
        <v>1825</v>
      </c>
      <c r="G52" s="1123" t="str">
        <f>_xlfn.IFERROR(IF(TITLE_PERIOD_START="","01.01."&amp;CURRENT_YEAR,"01.01."&amp;YEAR(TITLE_PERIOD_START)),"01.01."&amp;CURRENT_YEAR)</f>
        <v>01.01.2022</v>
      </c>
      <c r="H52" s="1123" t="str">
        <f>_xlfn.IFERROR(IF(TITLE_PERIOD_END="","31.12."&amp;CURRENT_YEAR,"31.12."&amp;YEAR(TITLE_PERIOD_END)),"31.12."&amp;CURRENT_YEAR)</f>
        <v>31.12.2027</v>
      </c>
      <c r="I52" s="1750">
        <f>IF(OR(TITLE_PERIOD_START="",TITLE_PERIOD_END=""),TRUE,FALSE)</f>
        <v>0</v>
      </c>
      <c r="J52" s="1752"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53"/>
      <c r="AX52" s="1127" t="s">
        <v>1826</v>
      </c>
      <c r="AZ52" s="1127" t="s">
        <v>656</v>
      </c>
      <c r="BE52" s="1127">
        <v>2050</v>
      </c>
      <c r="BH52" s="1075" t="s">
        <v>1801</v>
      </c>
      <c r="BJ52" s="1224" t="s">
        <v>1209</v>
      </c>
      <c r="BL52" s="1224" t="s">
        <v>1209</v>
      </c>
    </row>
    <row customHeight="1" ht="11.25">
      <c r="A53" s="1081" t="s">
        <v>1827</v>
      </c>
      <c r="E53" s="414" t="s">
        <v>1828</v>
      </c>
      <c r="F53" s="1122" t="s">
        <v>1828</v>
      </c>
      <c r="G53" s="1123" t="str">
        <f>_xlfn.IFERROR(IF(f_year="","01.01."&amp;CURRENT_YEAR,"01.01."&amp;f_year),"01.01."&amp;CURRENT_YEAR)</f>
        <v>01.01.2024</v>
      </c>
      <c r="H53" s="1123" t="str">
        <f>_xlfn.IFERROR(IF(f_year="","31.12."&amp;CURRENT_YEAR,"31.12."&amp;f_year),"31.12."&amp;CURRENT_YEAR)</f>
        <v>31.12.2024</v>
      </c>
      <c r="I53" s="1749">
        <f>IF(AND(f_year="",TITLE_DATE_FIL=""),TRUE,FALSE)</f>
        <v>1</v>
      </c>
      <c r="J53" s="1752" t="s">
        <v>1829</v>
      </c>
      <c r="K53" s="1753"/>
      <c r="AX53" s="1127" t="s">
        <v>1830</v>
      </c>
      <c r="BE53" s="1127">
        <v>2051</v>
      </c>
      <c r="BH53" s="1075" t="s">
        <v>1805</v>
      </c>
      <c r="BJ53" s="1224" t="s">
        <v>1778</v>
      </c>
      <c r="BL53" s="1224" t="s">
        <v>1778</v>
      </c>
    </row>
    <row customHeight="1" ht="11.25">
      <c r="A54" s="1081" t="s">
        <v>1831</v>
      </c>
      <c r="AX54" s="1127" t="s">
        <v>1832</v>
      </c>
      <c r="AZ54" s="1074" t="s">
        <v>1833</v>
      </c>
      <c r="BE54" s="1127">
        <v>2052</v>
      </c>
      <c r="BH54" s="1075" t="s">
        <v>1811</v>
      </c>
      <c r="BJ54" s="1224" t="s">
        <v>1781</v>
      </c>
      <c r="BL54" s="1224" t="s">
        <v>1781</v>
      </c>
    </row>
    <row customHeight="1" ht="11.25">
      <c r="A55" s="1081" t="s">
        <v>1834</v>
      </c>
      <c r="AX55" s="1127" t="s">
        <v>125</v>
      </c>
      <c r="AZ55" s="1127" t="s">
        <v>1381</v>
      </c>
      <c r="BE55" s="1127">
        <v>2053</v>
      </c>
      <c r="BH55" s="1077" t="s">
        <v>28</v>
      </c>
      <c r="BJ55" s="1224" t="s">
        <v>1210</v>
      </c>
      <c r="BL55" s="1224" t="s">
        <v>1210</v>
      </c>
    </row>
    <row customHeight="1" ht="11.25">
      <c r="A56" s="1081" t="s">
        <v>1835</v>
      </c>
      <c r="D56" s="1125" t="s">
        <v>1836</v>
      </c>
      <c r="E56" s="1102" t="s">
        <v>1837</v>
      </c>
      <c r="F56" s="1081" t="s">
        <v>1838</v>
      </c>
      <c r="AX56" s="1127" t="s">
        <v>1839</v>
      </c>
      <c r="AZ56" s="1127" t="s">
        <v>1407</v>
      </c>
      <c r="BE56" s="1127">
        <v>2054</v>
      </c>
      <c r="BH56" s="1077" t="s">
        <v>28</v>
      </c>
      <c r="BJ56" s="1224" t="s">
        <v>1788</v>
      </c>
      <c r="BL56" s="1224" t="s">
        <v>1788</v>
      </c>
    </row>
    <row customHeight="1" ht="11.25">
      <c r="A57" s="1081" t="s">
        <v>1840</v>
      </c>
      <c r="D57" s="1125" t="s">
        <v>1841</v>
      </c>
      <c r="E57" s="1102" t="s">
        <v>119</v>
      </c>
      <c r="F57" s="1081" t="s">
        <v>1838</v>
      </c>
      <c r="AX57" s="1127" t="s">
        <v>1842</v>
      </c>
      <c r="AZ57" s="1127" t="s">
        <v>1442</v>
      </c>
      <c r="BE57" s="1127">
        <v>2055</v>
      </c>
      <c r="BJ57" s="1224" t="s">
        <v>1797</v>
      </c>
      <c r="BL57" s="1224" t="s">
        <v>1797</v>
      </c>
    </row>
    <row customHeight="1" ht="11.25">
      <c r="A58" s="1081" t="s">
        <v>1843</v>
      </c>
      <c r="D58" s="1125" t="s">
        <v>1844</v>
      </c>
      <c r="E58" s="1102" t="s">
        <v>119</v>
      </c>
      <c r="F58" s="1081" t="s">
        <v>1838</v>
      </c>
      <c r="AX58" s="1127" t="s">
        <v>1845</v>
      </c>
      <c r="BE58" s="1127">
        <v>2056</v>
      </c>
      <c r="BJ58" s="1224" t="s">
        <v>1801</v>
      </c>
      <c r="BL58" s="1224" t="s">
        <v>1801</v>
      </c>
    </row>
    <row customHeight="1" ht="11.25">
      <c r="A59" s="1081" t="s">
        <v>1846</v>
      </c>
      <c r="D59" s="1125" t="s">
        <v>223</v>
      </c>
      <c r="E59" s="1102" t="s">
        <v>112</v>
      </c>
      <c r="F59" s="1081" t="s">
        <v>1847</v>
      </c>
      <c r="AX59" s="1127" t="s">
        <v>1848</v>
      </c>
      <c r="AZ59" s="1074" t="s">
        <v>1849</v>
      </c>
      <c r="BE59" s="1127">
        <v>2057</v>
      </c>
      <c r="BJ59" s="1224" t="s">
        <v>1805</v>
      </c>
      <c r="BL59" s="1224" t="s">
        <v>1805</v>
      </c>
    </row>
    <row customHeight="1" ht="11.25">
      <c r="A60" s="1081" t="s">
        <v>1850</v>
      </c>
      <c r="D60" s="1125" t="s">
        <v>1851</v>
      </c>
      <c r="E60" s="1102" t="s">
        <v>112</v>
      </c>
      <c r="F60" s="1081" t="s">
        <v>1847</v>
      </c>
      <c r="AX60" s="1127" t="s">
        <v>1852</v>
      </c>
      <c r="AZ60" s="1127" t="s">
        <v>1382</v>
      </c>
      <c r="BE60" s="1127">
        <v>2058</v>
      </c>
      <c r="BJ60" s="1224" t="s">
        <v>1811</v>
      </c>
      <c r="BL60" s="1224" t="s">
        <v>1811</v>
      </c>
    </row>
    <row customHeight="1" ht="11.25">
      <c r="A61" s="1081" t="s">
        <v>1853</v>
      </c>
      <c r="D61" s="1125" t="s">
        <v>1854</v>
      </c>
      <c r="E61" s="1102" t="s">
        <v>112</v>
      </c>
      <c r="F61" s="1081" t="s">
        <v>1847</v>
      </c>
      <c r="AX61" s="1127" t="s">
        <v>1855</v>
      </c>
      <c r="AZ61" s="1127" t="s">
        <v>1408</v>
      </c>
      <c r="BE61" s="1127">
        <v>2059</v>
      </c>
      <c r="BL61" s="1224" t="s">
        <v>1202</v>
      </c>
    </row>
    <row customHeight="1" ht="11.25">
      <c r="A62" s="1081" t="s">
        <v>1856</v>
      </c>
      <c r="D62" s="1125" t="s">
        <v>222</v>
      </c>
      <c r="E62" s="1102">
        <v>52</v>
      </c>
      <c r="F62" s="1081" t="s">
        <v>1847</v>
      </c>
      <c r="AZ62" s="1127" t="s">
        <v>1443</v>
      </c>
      <c r="BE62" s="1127">
        <v>2060</v>
      </c>
      <c r="BL62" s="1224" t="s">
        <v>1204</v>
      </c>
    </row>
    <row customHeight="1" ht="11.25">
      <c r="A63" s="1081" t="s">
        <v>1857</v>
      </c>
      <c r="D63" s="1125" t="s">
        <v>1858</v>
      </c>
      <c r="E63" s="1102">
        <v>53</v>
      </c>
      <c r="F63" s="1081" t="s">
        <v>1847</v>
      </c>
      <c r="AZ63" s="1127" t="s">
        <v>1475</v>
      </c>
      <c r="BE63" s="1127">
        <v>2061</v>
      </c>
    </row>
    <row customHeight="1" ht="11.25">
      <c r="A64" s="1081" t="s">
        <v>1859</v>
      </c>
      <c r="D64" s="1125" t="s">
        <v>1860</v>
      </c>
      <c r="E64" s="1102">
        <v>53</v>
      </c>
      <c r="F64" s="1081" t="s">
        <v>1847</v>
      </c>
      <c r="AZ64" s="1127" t="s">
        <v>1497</v>
      </c>
      <c r="BE64" s="1127">
        <v>2062</v>
      </c>
    </row>
    <row customHeight="1" ht="11.25">
      <c r="A65" s="1081" t="s">
        <v>1861</v>
      </c>
      <c r="D65" s="1081"/>
      <c r="BE65" s="1127">
        <v>2063</v>
      </c>
    </row>
    <row customHeight="1" ht="11.25">
      <c r="A66" s="1081" t="s">
        <v>1862</v>
      </c>
      <c r="AZ66" s="1074" t="s">
        <v>1863</v>
      </c>
      <c r="BE66" s="1127">
        <v>2064</v>
      </c>
    </row>
    <row customHeight="1" ht="11.25">
      <c r="A67" s="1081" t="s">
        <v>1864</v>
      </c>
      <c r="AZ67" s="1127" t="s">
        <v>1383</v>
      </c>
      <c r="BE67" s="1127">
        <v>2065</v>
      </c>
    </row>
    <row customHeight="1" ht="11.25">
      <c r="A68" s="1081" t="s">
        <v>1865</v>
      </c>
      <c r="AZ68" s="1127" t="s">
        <v>1409</v>
      </c>
      <c r="BE68" s="1127">
        <v>2066</v>
      </c>
      <c r="BH68" s="1074" t="s">
        <v>1866</v>
      </c>
      <c r="BJ68" s="1074" t="s">
        <v>1867</v>
      </c>
      <c r="BL68" s="1074" t="s">
        <v>1868</v>
      </c>
      <c r="BN68" s="1074" t="s">
        <v>1869</v>
      </c>
    </row>
    <row customHeight="1" ht="11.25">
      <c r="A69" s="1081" t="s">
        <v>1870</v>
      </c>
      <c r="AZ69" s="1127" t="s">
        <v>1444</v>
      </c>
      <c r="BE69" s="1127">
        <v>2067</v>
      </c>
      <c r="BH69" s="1075" t="s">
        <v>1871</v>
      </c>
      <c r="BI69" s="1124" t="s">
        <v>108</v>
      </c>
      <c r="BJ69" s="1075" t="s">
        <v>1872</v>
      </c>
      <c r="BK69" s="1124" t="s">
        <v>108</v>
      </c>
      <c r="BL69" s="1075" t="s">
        <v>1873</v>
      </c>
      <c r="BM69" s="1077" t="s">
        <v>108</v>
      </c>
      <c r="BN69" s="1075" t="s">
        <v>1874</v>
      </c>
    </row>
    <row customHeight="1" ht="11.25">
      <c r="A70" s="1081" t="s">
        <v>1875</v>
      </c>
      <c r="AZ70" s="1127" t="s">
        <v>1476</v>
      </c>
      <c r="BE70" s="1127">
        <v>2068</v>
      </c>
      <c r="BH70" s="1075" t="s">
        <v>1876</v>
      </c>
      <c r="BJ70" s="1075" t="s">
        <v>1877</v>
      </c>
      <c r="BL70" s="1075" t="s">
        <v>1878</v>
      </c>
      <c r="BN70" s="1075" t="s">
        <v>1879</v>
      </c>
    </row>
    <row customHeight="1" ht="11.25">
      <c r="A71" s="1081" t="s">
        <v>1880</v>
      </c>
      <c r="AZ71" s="1127" t="s">
        <v>1478</v>
      </c>
      <c r="BE71" s="1127">
        <v>2069</v>
      </c>
      <c r="BH71" s="1075" t="s">
        <v>1881</v>
      </c>
      <c r="BI71" s="1124" t="s">
        <v>90</v>
      </c>
      <c r="BJ71" s="1075" t="s">
        <v>1882</v>
      </c>
      <c r="BK71" s="1124" t="s">
        <v>90</v>
      </c>
      <c r="BL71" s="1075" t="s">
        <v>1883</v>
      </c>
      <c r="BM71" s="1077" t="s">
        <v>90</v>
      </c>
      <c r="BN71" s="1075" t="s">
        <v>1884</v>
      </c>
    </row>
    <row customHeight="1" ht="11.25">
      <c r="A72" s="1081" t="s">
        <v>1885</v>
      </c>
      <c r="AZ72" s="1127" t="s">
        <v>19</v>
      </c>
      <c r="BE72" s="1127">
        <v>2070</v>
      </c>
      <c r="BH72" s="1075" t="s">
        <v>1886</v>
      </c>
      <c r="BJ72" s="1075" t="s">
        <v>1886</v>
      </c>
      <c r="BL72" s="1075" t="s">
        <v>1886</v>
      </c>
      <c r="BN72" s="1075" t="s">
        <v>1887</v>
      </c>
    </row>
    <row customHeight="1" ht="11.25">
      <c r="A73" s="1081" t="s">
        <v>1888</v>
      </c>
      <c r="BH73" s="1075" t="s">
        <v>1889</v>
      </c>
      <c r="BI73" s="1124" t="s">
        <v>119</v>
      </c>
      <c r="BJ73" s="1075" t="s">
        <v>1890</v>
      </c>
      <c r="BK73" s="1124" t="s">
        <v>119</v>
      </c>
      <c r="BL73" s="1075" t="s">
        <v>1891</v>
      </c>
      <c r="BM73" s="1077" t="s">
        <v>119</v>
      </c>
      <c r="BN73" s="1075" t="s">
        <v>1892</v>
      </c>
    </row>
    <row customHeight="1" ht="11.25">
      <c r="A74" s="1081" t="s">
        <v>1893</v>
      </c>
      <c r="BH74" s="1075" t="s">
        <v>1894</v>
      </c>
      <c r="BJ74" s="1075" t="s">
        <v>1895</v>
      </c>
      <c r="BL74" s="1075" t="s">
        <v>1896</v>
      </c>
      <c r="BN74" s="1075" t="s">
        <v>1897</v>
      </c>
    </row>
    <row customHeight="1" ht="11.25">
      <c r="A75" s="1081" t="s">
        <v>1898</v>
      </c>
      <c r="AZ75" s="1074" t="s">
        <v>1899</v>
      </c>
      <c r="BH75" s="1075" t="s">
        <v>1900</v>
      </c>
      <c r="BJ75" s="1075" t="s">
        <v>1900</v>
      </c>
      <c r="BL75" s="1075" t="s">
        <v>1900</v>
      </c>
    </row>
    <row customHeight="1" ht="11.25">
      <c r="A76" s="1081" t="s">
        <v>1901</v>
      </c>
      <c r="AZ76" s="1127" t="s">
        <v>1392</v>
      </c>
      <c r="BH76" s="1075" t="s">
        <v>1902</v>
      </c>
      <c r="BJ76" s="1075" t="s">
        <v>1903</v>
      </c>
      <c r="BL76" s="1075" t="s">
        <v>1904</v>
      </c>
    </row>
    <row customHeight="1" ht="11.25">
      <c r="A77" s="1081" t="s">
        <v>1905</v>
      </c>
      <c r="AZ77" s="1127" t="s">
        <v>1419</v>
      </c>
    </row>
    <row customHeight="1" ht="11.25">
      <c r="A78" s="1081" t="s">
        <v>1906</v>
      </c>
      <c r="AZ78" s="1127" t="s">
        <v>1451</v>
      </c>
    </row>
    <row customHeight="1" ht="11.25">
      <c r="A79" s="1081" t="s">
        <v>1907</v>
      </c>
      <c r="AZ79" s="1127" t="s">
        <v>1482</v>
      </c>
      <c r="BH79" s="1074" t="s">
        <v>1908</v>
      </c>
      <c r="BJ79" s="1074" t="s">
        <v>1909</v>
      </c>
      <c r="BL79" s="1074" t="s">
        <v>1910</v>
      </c>
    </row>
    <row customHeight="1" ht="11.25">
      <c r="A80" s="1081" t="s">
        <v>1911</v>
      </c>
      <c r="AZ80" s="1127" t="s">
        <v>1502</v>
      </c>
      <c r="BH80" s="1075" t="s">
        <v>1912</v>
      </c>
      <c r="BJ80" s="1075" t="s">
        <v>1913</v>
      </c>
      <c r="BL80" s="1075" t="s">
        <v>1914</v>
      </c>
    </row>
    <row customHeight="1" ht="11.25">
      <c r="A81" s="1081" t="s">
        <v>1915</v>
      </c>
      <c r="AZ81" s="1127" t="s">
        <v>1519</v>
      </c>
      <c r="BH81" s="1075" t="s">
        <v>1916</v>
      </c>
      <c r="BJ81" s="1075" t="s">
        <v>1917</v>
      </c>
      <c r="BL81" s="1075" t="s">
        <v>1918</v>
      </c>
    </row>
    <row customHeight="1" ht="11.25">
      <c r="A82" s="1081" t="s">
        <v>1919</v>
      </c>
      <c r="AZ82" s="1127" t="s">
        <v>1534</v>
      </c>
      <c r="BH82" s="1075" t="s">
        <v>1920</v>
      </c>
      <c r="BJ82" s="1075" t="s">
        <v>1921</v>
      </c>
      <c r="BL82" s="1075" t="s">
        <v>1922</v>
      </c>
    </row>
    <row customHeight="1" ht="11.25">
      <c r="A83" s="1081" t="s">
        <v>1923</v>
      </c>
      <c r="BH83" s="1075" t="s">
        <v>1924</v>
      </c>
      <c r="BJ83" s="1075" t="s">
        <v>1925</v>
      </c>
      <c r="BL83" s="1075" t="s">
        <v>1926</v>
      </c>
    </row>
    <row customHeight="1" ht="11.25">
      <c r="A84" s="1081" t="s">
        <v>1927</v>
      </c>
      <c r="AZ84" s="1074" t="s">
        <v>1928</v>
      </c>
    </row>
    <row customHeight="1" ht="11.25">
      <c r="A85" s="1877" t="s">
        <v>1929</v>
      </c>
      <c r="AZ85" s="1127" t="s">
        <v>1930</v>
      </c>
    </row>
    <row customHeight="1" ht="11.25">
      <c r="A86" s="1081" t="s">
        <v>1931</v>
      </c>
      <c r="AZ86" s="1127" t="s">
        <v>1932</v>
      </c>
      <c r="BH86" s="1074" t="s">
        <v>1933</v>
      </c>
      <c r="BJ86" s="1074" t="s">
        <v>1934</v>
      </c>
      <c r="BL86" s="1074" t="s">
        <v>1935</v>
      </c>
    </row>
    <row customHeight="1" ht="11.25">
      <c r="A87" s="1081" t="s">
        <v>1936</v>
      </c>
      <c r="AZ87" s="1127" t="s">
        <v>1937</v>
      </c>
      <c r="BH87" s="1075" t="s">
        <v>1938</v>
      </c>
      <c r="BJ87" s="1075" t="s">
        <v>1939</v>
      </c>
      <c r="BL87" s="1075" t="s">
        <v>1940</v>
      </c>
    </row>
    <row customHeight="1" ht="11.25">
      <c r="A88" s="1081" t="s">
        <v>1941</v>
      </c>
      <c r="AZ88" s="1613"/>
      <c r="BH88" s="1075" t="s">
        <v>1942</v>
      </c>
      <c r="BJ88" s="1075" t="s">
        <v>1943</v>
      </c>
      <c r="BL88" s="1075" t="s">
        <v>1944</v>
      </c>
    </row>
    <row customHeight="1" ht="11.25">
      <c r="A89" s="1081" t="s">
        <v>1945</v>
      </c>
      <c r="AZ89" s="1074" t="s">
        <v>1946</v>
      </c>
    </row>
    <row customHeight="1" ht="11.25">
      <c r="A90" s="1081" t="s">
        <v>1947</v>
      </c>
      <c r="AZ90" s="1127" t="s">
        <v>1180</v>
      </c>
    </row>
    <row customHeight="1" ht="11.25">
      <c r="A91" s="1081" t="s">
        <v>1948</v>
      </c>
      <c r="AZ91" s="1127" t="s">
        <v>1216</v>
      </c>
      <c r="BH91" s="1074" t="s">
        <v>1949</v>
      </c>
      <c r="BJ91" s="1074" t="s">
        <v>1950</v>
      </c>
      <c r="BL91" s="1074" t="s">
        <v>1951</v>
      </c>
    </row>
    <row customHeight="1" ht="11.25">
      <c r="AZ92" s="1127" t="s">
        <v>1952</v>
      </c>
      <c r="BH92" s="1075" t="s">
        <v>1953</v>
      </c>
      <c r="BJ92" s="1075" t="s">
        <v>1954</v>
      </c>
      <c r="BL92" s="1075" t="s">
        <v>1955</v>
      </c>
    </row>
    <row customHeight="1" ht="11.25">
      <c r="AZ93" s="1127" t="s">
        <v>1956</v>
      </c>
      <c r="BH93" s="1075" t="s">
        <v>1957</v>
      </c>
      <c r="BJ93" s="1075" t="s">
        <v>1958</v>
      </c>
      <c r="BL93" s="1075" t="s">
        <v>1959</v>
      </c>
    </row>
    <row customHeight="1" ht="11.25">
      <c r="AZ94" s="1127" t="s">
        <v>1960</v>
      </c>
    </row>
    <row r="96" customHeight="1" ht="11.25">
      <c r="AZ96" s="1074" t="s">
        <v>1961</v>
      </c>
      <c r="BH96" s="1074" t="s">
        <v>1962</v>
      </c>
      <c r="BJ96" s="1074" t="s">
        <v>1963</v>
      </c>
      <c r="BL96" s="1074" t="s">
        <v>1964</v>
      </c>
      <c r="BN96" s="1074" t="s">
        <v>1965</v>
      </c>
    </row>
    <row customHeight="1" ht="11.25">
      <c r="AZ97" s="1908" t="s">
        <v>1966</v>
      </c>
      <c r="BA97" s="1909" t="s">
        <v>1967</v>
      </c>
      <c r="BH97" s="1075" t="s">
        <v>1968</v>
      </c>
      <c r="BJ97" s="1075" t="s">
        <v>1969</v>
      </c>
      <c r="BL97" s="1075" t="s">
        <v>1970</v>
      </c>
      <c r="BN97" s="1075" t="s">
        <v>1971</v>
      </c>
    </row>
    <row customHeight="1" ht="11.25">
      <c r="AZ98" s="1908" t="s">
        <v>1972</v>
      </c>
      <c r="BA98" s="1909" t="s">
        <v>1973</v>
      </c>
      <c r="BH98" s="1075" t="s">
        <v>1974</v>
      </c>
      <c r="BJ98" s="1075" t="s">
        <v>1975</v>
      </c>
      <c r="BL98" s="1075" t="s">
        <v>1976</v>
      </c>
      <c r="BN98" s="1075" t="s">
        <v>1977</v>
      </c>
    </row>
    <row customHeight="1" ht="22.5">
      <c r="AZ99" s="1908" t="s">
        <v>1978</v>
      </c>
      <c r="BA99" s="1909"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5" t="s">
        <v>1979</v>
      </c>
      <c r="BJ99" s="1075" t="s">
        <v>1980</v>
      </c>
      <c r="BL99" s="1075" t="s">
        <v>1981</v>
      </c>
      <c r="BN99" s="1075" t="s">
        <v>1982</v>
      </c>
    </row>
    <row customHeight="1" ht="22.5">
      <c r="AZ100" s="1908" t="s">
        <v>1983</v>
      </c>
      <c r="BA100" s="190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75" t="s">
        <v>1580</v>
      </c>
      <c r="BL100" s="1075" t="s">
        <v>1580</v>
      </c>
      <c r="BN100" s="1075" t="s">
        <v>1984</v>
      </c>
    </row>
    <row customHeight="1" ht="22.5">
      <c r="AZ101" s="1908" t="s">
        <v>1985</v>
      </c>
      <c r="BA101" s="1909" t="s">
        <v>1986</v>
      </c>
      <c r="BN101" s="1075" t="s">
        <v>1987</v>
      </c>
    </row>
    <row customHeight="1" ht="22.5">
      <c r="AZ102" s="1908" t="s">
        <v>1988</v>
      </c>
      <c r="BA102" s="190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75" t="s">
        <v>1989</v>
      </c>
    </row>
    <row customHeight="1" ht="11.25">
      <c r="AZ103" s="1908" t="s">
        <v>1990</v>
      </c>
      <c r="BA103" s="1909" t="s">
        <v>1991</v>
      </c>
      <c r="BN103" s="1075" t="s">
        <v>1992</v>
      </c>
    </row>
    <row customHeight="1" ht="11.25">
      <c r="BN104" s="1075" t="s">
        <v>1993</v>
      </c>
    </row>
    <row customHeight="1" ht="11.25">
      <c r="AZ105" s="1699" t="s">
        <v>1994</v>
      </c>
    </row>
    <row customHeight="1" ht="11.25">
      <c r="AZ106" s="1127" t="s">
        <v>1995</v>
      </c>
    </row>
    <row customHeight="1" ht="11.25">
      <c r="AZ107" s="1127" t="s">
        <v>1996</v>
      </c>
      <c r="BH107" s="1074" t="s">
        <v>1997</v>
      </c>
      <c r="BJ107" s="1074" t="s">
        <v>1998</v>
      </c>
      <c r="BL107" s="1074" t="s">
        <v>1999</v>
      </c>
      <c r="BN107" s="1074" t="s">
        <v>2000</v>
      </c>
    </row>
    <row customHeight="1" ht="11.25">
      <c r="AZ108" s="1127" t="s">
        <v>733</v>
      </c>
      <c r="BH108" s="1075" t="s">
        <v>2001</v>
      </c>
      <c r="BJ108" s="1075" t="s">
        <v>2002</v>
      </c>
      <c r="BL108" s="1075" t="s">
        <v>1661</v>
      </c>
      <c r="BN108" s="1075" t="s">
        <v>2003</v>
      </c>
    </row>
    <row customHeight="1" ht="11.25">
      <c r="BH109" s="1075" t="s">
        <v>2004</v>
      </c>
    </row>
    <row customHeight="1" ht="11.25">
      <c r="AZ110" s="1699" t="s">
        <v>2005</v>
      </c>
      <c r="BH110" s="1075" t="s">
        <v>2004</v>
      </c>
    </row>
    <row customHeight="1" ht="11.25">
      <c r="AZ111" s="1908" t="s">
        <v>1966</v>
      </c>
      <c r="BA111" s="1909" t="s">
        <v>1967</v>
      </c>
    </row>
    <row customHeight="1" ht="11.25">
      <c r="AZ112" s="1908" t="s">
        <v>1972</v>
      </c>
      <c r="BA112" s="1909" t="s">
        <v>1973</v>
      </c>
    </row>
    <row customHeight="1" ht="22.5">
      <c r="AZ113" s="1908" t="s">
        <v>1978</v>
      </c>
      <c r="BA113" s="1909"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8" t="s">
        <v>1983</v>
      </c>
      <c r="BA114" s="190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74" t="s">
        <v>2006</v>
      </c>
    </row>
    <row customHeight="1" ht="22.5">
      <c r="AZ115" s="1908" t="s">
        <v>1988</v>
      </c>
      <c r="BA115" s="1909"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75" t="s">
        <v>656</v>
      </c>
    </row>
    <row customHeight="1" ht="11.25">
      <c r="AZ116" s="1908" t="s">
        <v>1990</v>
      </c>
      <c r="BA116" s="1909" t="s">
        <v>1991</v>
      </c>
      <c r="BH116" s="1075" t="s">
        <v>1405</v>
      </c>
    </row>
    <row customHeight="1" ht="11.25">
      <c r="BH117" s="1075" t="s">
        <v>1440</v>
      </c>
    </row>
    <row customHeight="1" ht="11.25">
      <c r="BH118" s="1075" t="s">
        <v>1473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2C2E5F-A0DC-CCF4-E028-60948237D768}"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8" width="15.00390625" hidden="1" customWidth="1"/>
    <col min="3" max="3" style="462" width="3.00390625" customWidth="1"/>
    <col min="4" max="4" style="463" width="6.00390625" customWidth="1"/>
    <col min="5" max="5" style="462" width="52.00390625" customWidth="1"/>
    <col min="6" max="6" style="462" width="48.00390625" customWidth="1"/>
    <col min="7" max="7" style="462" width="93.00390625" customWidth="1"/>
    <col min="8" max="8" style="462" width="8.00390625" customWidth="1"/>
    <col min="9" max="9" style="462" width="64.00390625" customWidth="1"/>
    <col min="10" max="10" style="462" width="9.140625" hidden="1"/>
  </cols>
  <sheetData>
    <row customHeight="1" ht="11.25" hidden="1">
      <c r="A1" s="508" t="s">
        <v>462</v>
      </c>
      <c r="J1" s="462" t="s">
        <v>14</v>
      </c>
    </row>
    <row customHeight="1" ht="22.5" hidden="1">
      <c r="A2" s="509"/>
      <c r="B2" s="509"/>
      <c r="C2" s="1737" t="s">
        <v>102</v>
      </c>
      <c r="D2" s="1527"/>
      <c r="E2" s="1533"/>
      <c r="F2" s="1556"/>
      <c r="H2" s="482"/>
      <c r="J2" s="462">
        <v>0</v>
      </c>
    </row>
    <row customHeight="1" ht="11.25" hidden="1">
      <c r="J3" s="462">
        <v>0</v>
      </c>
    </row>
    <row customHeight="1" ht="11.549999999999999">
      <c r="A4" s="1557"/>
      <c r="B4" s="1557"/>
      <c r="J4" s="462">
        <v>11</v>
      </c>
    </row>
    <row customHeight="1" ht="27.299999999999997">
      <c r="D5" s="2245"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6"/>
      <c r="F5" s="2247"/>
      <c r="I5" s="722"/>
      <c r="J5" s="462">
        <v>26</v>
      </c>
    </row>
    <row customHeight="1" ht="18">
      <c r="D6" s="2183" t="str">
        <f>IF(region_name=0,"Не определено",region_name)</f>
        <v>Белгородская область</v>
      </c>
      <c r="E6" s="2183"/>
      <c r="F6" s="2183"/>
      <c r="I6" s="722"/>
      <c r="J6" s="462">
        <v>17</v>
      </c>
    </row>
    <row s="484" customFormat="1" customHeight="1" ht="11.549999999999999">
      <c r="A7" s="508"/>
      <c r="B7" s="508"/>
      <c r="D7" s="721"/>
      <c r="E7" s="721"/>
      <c r="F7" s="759"/>
      <c r="G7" s="721"/>
      <c r="J7" s="484">
        <v>11</v>
      </c>
    </row>
    <row customHeight="1" ht="11.25" hidden="1">
      <c r="A8" s="509"/>
      <c r="B8" s="509"/>
      <c r="C8" s="464"/>
      <c r="D8" s="470"/>
      <c r="E8" s="2214"/>
      <c r="F8" s="2214"/>
      <c r="J8" s="462">
        <v>0</v>
      </c>
    </row>
    <row customHeight="1" ht="11.549999999999999">
      <c r="A9" s="509"/>
      <c r="B9" s="509"/>
      <c r="C9" s="464"/>
      <c r="D9" s="2211" t="s">
        <v>463</v>
      </c>
      <c r="E9" s="2212"/>
      <c r="F9" s="2212"/>
      <c r="G9" s="2215" t="s">
        <v>464</v>
      </c>
      <c r="J9" s="462">
        <v>11</v>
      </c>
    </row>
    <row customHeight="1" ht="11.549999999999999">
      <c r="A10" s="509"/>
      <c r="B10" s="509"/>
      <c r="C10" s="464"/>
      <c r="D10" s="1481" t="s">
        <v>88</v>
      </c>
      <c r="E10" s="1483" t="s">
        <v>465</v>
      </c>
      <c r="F10" s="1483" t="s">
        <v>466</v>
      </c>
      <c r="G10" s="2216"/>
      <c r="J10" s="462">
        <v>11</v>
      </c>
    </row>
    <row customHeight="1" ht="1.05">
      <c r="A11" s="509"/>
      <c r="B11" s="509"/>
      <c r="C11" s="464"/>
      <c r="D11" s="471"/>
      <c r="E11" s="471"/>
      <c r="F11" s="471"/>
      <c r="G11" s="471"/>
      <c r="J11" s="462">
        <v>1</v>
      </c>
    </row>
    <row customHeight="1" ht="24">
      <c r="A12" s="509"/>
      <c r="B12" s="509"/>
      <c r="C12" s="464"/>
      <c r="D12" s="1527">
        <v>1</v>
      </c>
      <c r="E12" s="481"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15" t="str">
        <f>IF(org="","",org)</f>
        <v>ГУП "Белоблводоканал"</v>
      </c>
      <c r="G12" s="481"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40"/>
      <c r="J12" s="462">
        <v>23</v>
      </c>
    </row>
    <row customHeight="1" ht="19.95">
      <c r="A13" s="509"/>
      <c r="B13" s="509"/>
      <c r="C13" s="464"/>
      <c r="D13" s="1527">
        <v>2</v>
      </c>
      <c r="E13" s="1534" t="s">
        <v>2007</v>
      </c>
      <c r="F13" s="1528" t="s">
        <v>469</v>
      </c>
      <c r="G13" s="481"/>
      <c r="H13" s="1540"/>
      <c r="J13" s="462">
        <v>19</v>
      </c>
    </row>
    <row customHeight="1" ht="19.95">
      <c r="A14" s="509"/>
      <c r="B14" s="509"/>
      <c r="C14" s="464"/>
      <c r="D14" s="1530" t="s">
        <v>870</v>
      </c>
      <c r="E14" s="1531" t="s">
        <v>2008</v>
      </c>
      <c r="F14" s="1533"/>
      <c r="G14" s="1532" t="s">
        <v>2009</v>
      </c>
      <c r="H14" s="1540"/>
      <c r="J14" s="462">
        <v>19</v>
      </c>
    </row>
    <row customHeight="1" ht="19.95">
      <c r="A15" s="509"/>
      <c r="B15" s="509"/>
      <c r="C15" s="464"/>
      <c r="D15" s="1530" t="s">
        <v>470</v>
      </c>
      <c r="E15" s="1531" t="s">
        <v>2010</v>
      </c>
      <c r="F15" s="1533"/>
      <c r="G15" s="1532" t="s">
        <v>2011</v>
      </c>
      <c r="H15" s="1540"/>
      <c r="J15" s="462">
        <v>19</v>
      </c>
    </row>
    <row customHeight="1" ht="24">
      <c r="A16" s="509"/>
      <c r="B16" s="509"/>
      <c r="C16" s="464"/>
      <c r="D16" s="1530" t="s">
        <v>473</v>
      </c>
      <c r="E16" s="1529" t="s">
        <v>2012</v>
      </c>
      <c r="F16" s="1538"/>
      <c r="G16" s="481" t="s">
        <v>2013</v>
      </c>
      <c r="H16" s="1540"/>
      <c r="J16" s="462">
        <v>23</v>
      </c>
    </row>
    <row customHeight="1" ht="48.29999999999999">
      <c r="A17" s="509"/>
      <c r="B17" s="509"/>
      <c r="C17" s="464"/>
      <c r="D17" s="1527">
        <v>3</v>
      </c>
      <c r="E17" s="1534" t="s">
        <v>2014</v>
      </c>
      <c r="F17" s="1533"/>
      <c r="G17" s="481" t="s">
        <v>2015</v>
      </c>
      <c r="H17" s="1540"/>
      <c r="J17" s="462">
        <v>46</v>
      </c>
    </row>
    <row customHeight="1" ht="48.29999999999999">
      <c r="A18" s="1482">
        <v>1</v>
      </c>
      <c r="B18" s="509"/>
      <c r="C18" s="1484"/>
      <c r="D18" s="1527" t="s">
        <v>91</v>
      </c>
      <c r="E18" s="1534" t="s">
        <v>2016</v>
      </c>
      <c r="F18" s="1533"/>
      <c r="G18" s="481" t="s">
        <v>2015</v>
      </c>
      <c r="H18" s="1540"/>
      <c r="I18" s="859"/>
      <c r="J18" s="462">
        <v>46</v>
      </c>
    </row>
    <row customHeight="1" ht="23.25">
      <c r="A19" s="509"/>
      <c r="B19" s="509"/>
      <c r="C19" s="464"/>
      <c r="D19" s="1527" t="s">
        <v>119</v>
      </c>
      <c r="E19" s="1534" t="s">
        <v>2017</v>
      </c>
      <c r="F19" s="1528" t="s">
        <v>469</v>
      </c>
      <c r="G19" s="2478" t="s">
        <v>2018</v>
      </c>
      <c r="H19" s="482"/>
      <c r="J19" s="462">
        <v>22</v>
      </c>
    </row>
    <row s="1537" customFormat="1" customHeight="1" ht="5.25" hidden="1">
      <c r="A20" s="509"/>
      <c r="B20" s="509"/>
      <c r="C20" s="1536"/>
      <c r="D20" s="1535" t="s">
        <v>1277</v>
      </c>
      <c r="E20" s="1021"/>
      <c r="F20" s="1020"/>
      <c r="G20" s="2479"/>
      <c r="J20" s="1537">
        <v>0</v>
      </c>
    </row>
    <row customHeight="1" ht="15.75">
      <c r="A21" s="509"/>
      <c r="B21" s="509"/>
      <c r="C21" s="464"/>
      <c r="D21" s="474"/>
      <c r="E21" s="422" t="s">
        <v>502</v>
      </c>
      <c r="F21" s="476"/>
      <c r="G21" s="2480"/>
      <c r="H21" s="1540"/>
      <c r="J21" s="462">
        <v>15</v>
      </c>
    </row>
    <row s="508" customFormat="1" customHeight="1" ht="26.25">
      <c r="A22" s="509"/>
      <c r="B22" s="509"/>
      <c r="C22" s="509"/>
      <c r="D22" s="1527" t="s">
        <v>92</v>
      </c>
      <c r="E22" s="481" t="s">
        <v>2019</v>
      </c>
      <c r="F22" s="1533"/>
      <c r="G22" s="481" t="s">
        <v>2020</v>
      </c>
      <c r="H22" s="1539"/>
      <c r="J22" s="508">
        <v>25</v>
      </c>
    </row>
    <row s="508" customFormat="1" customHeight="1" ht="19.95">
      <c r="A23" s="509"/>
      <c r="B23" s="509"/>
      <c r="C23" s="509"/>
      <c r="D23" s="1527" t="s">
        <v>93</v>
      </c>
      <c r="E23" s="1534" t="s">
        <v>2021</v>
      </c>
      <c r="F23" s="1538"/>
      <c r="G23" s="481" t="s">
        <v>2022</v>
      </c>
      <c r="H23" s="1539"/>
      <c r="J23" s="508">
        <v>19</v>
      </c>
    </row>
    <row s="508" customFormat="1" customHeight="1" ht="144" hidden="1">
      <c r="A24" s="509"/>
      <c r="B24" s="509"/>
      <c r="C24" s="509"/>
      <c r="D24" s="1527" t="s">
        <v>132</v>
      </c>
      <c r="E24" s="1904"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05"/>
      <c r="G24" s="1903"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9"/>
      <c r="J24" s="508">
        <v>0</v>
      </c>
    </row>
    <row customHeight="1" ht="11.25" hidden="1">
      <c r="A25" s="508" t="s">
        <v>82</v>
      </c>
      <c r="B25" s="508">
        <v>0</v>
      </c>
      <c r="C25" s="462">
        <v>3</v>
      </c>
      <c r="D25" s="463">
        <v>6</v>
      </c>
      <c r="E25" s="462">
        <v>52</v>
      </c>
      <c r="F25" s="462">
        <v>48</v>
      </c>
      <c r="G25" s="462">
        <v>93</v>
      </c>
      <c r="H25" s="462">
        <v>8</v>
      </c>
      <c r="I25" s="462">
        <v>64</v>
      </c>
      <c r="J25" s="462">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C2A734-3519-B92E-99E1-4E576165A1D4}"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42" width="9.140625" hidden="1"/>
    <col min="2" max="2" style="1373" width="9.140625" hidden="1"/>
    <col min="3" max="3" style="1642" width="3.7109375" hidden="1" customWidth="1"/>
    <col min="4" max="4" style="1849" width="3.00390625" customWidth="1"/>
    <col min="5" max="5" style="1642" width="6.00390625" customWidth="1"/>
    <col min="6" max="6" style="1642" width="46.00390625" customWidth="1"/>
    <col min="7" max="8" style="1642" width="16.00390625" customWidth="1"/>
    <col min="9" max="9" style="1642" width="35.00390625" customWidth="1"/>
    <col min="10" max="10" style="1642" width="89.00390625" customWidth="1"/>
    <col min="11" max="11" style="1631" width="3.00390625" customWidth="1"/>
    <col min="12" max="14" style="1631" width="8.00390625" customWidth="1"/>
    <col min="15" max="15" style="1631" width="25.00390625" customWidth="1"/>
    <col min="16" max="16" style="1631" width="14.00390625" customWidth="1"/>
    <col min="17" max="20" style="232" width="8.00390625" customWidth="1"/>
    <col min="21" max="254" style="1642" width="8.00390625" customWidth="1"/>
    <col min="255" max="255" style="1642" width="9.140625" hidden="1"/>
  </cols>
  <sheetData>
    <row customHeight="1" ht="22.5" hidden="1">
      <c r="F1" s="1638" t="s">
        <v>2023</v>
      </c>
      <c r="G1" s="1638" t="s">
        <v>49</v>
      </c>
      <c r="H1" s="1638" t="s">
        <v>51</v>
      </c>
      <c r="IU1" s="1162" t="s">
        <v>14</v>
      </c>
    </row>
    <row s="1857" customFormat="1" customHeight="1" ht="22.5" hidden="1">
      <c r="A2" s="838"/>
      <c r="B2" s="1167">
        <v>1</v>
      </c>
      <c r="C2" s="1167"/>
      <c r="D2" s="1935" t="s">
        <v>102</v>
      </c>
      <c r="E2" s="1491"/>
      <c r="F2" s="1498"/>
      <c r="G2" s="1498"/>
      <c r="H2" s="1498"/>
      <c r="I2" s="1991"/>
      <c r="J2" s="1992"/>
      <c r="K2" s="1542"/>
      <c r="L2" s="518"/>
      <c r="M2" s="518"/>
      <c r="N2" s="507" t="str">
        <f t="array" ref="N2:N2">IF(ISERROR(MATCH(MID(O2,1,250),MID(note_ter,1,250),0)),"n","y")</f>
        <v>n</v>
      </c>
      <c r="O2" s="518"/>
      <c r="P2" s="507" t="str">
        <f>G2&amp;"("&amp;J2&amp;")"</f>
        <v>()</v>
      </c>
      <c r="Q2" s="1167"/>
      <c r="R2" s="1167"/>
      <c r="S2" s="427"/>
      <c r="T2" s="1167"/>
      <c r="U2" s="1167"/>
      <c r="V2" s="1167"/>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c r="IU2" s="430">
        <v>0</v>
      </c>
    </row>
    <row s="1649" customFormat="1" customHeight="1" ht="4.2">
      <c r="A3" s="503"/>
      <c r="D3" s="501"/>
      <c r="F3" s="254" t="s">
        <v>83</v>
      </c>
      <c r="G3" s="501" t="s">
        <v>84</v>
      </c>
      <c r="H3" s="501"/>
      <c r="I3" s="501"/>
      <c r="J3" s="234" t="s">
        <v>85</v>
      </c>
      <c r="K3" s="254" t="s">
        <v>83</v>
      </c>
      <c r="L3" s="254"/>
      <c r="M3" s="254"/>
      <c r="N3" s="254"/>
      <c r="O3" s="255"/>
      <c r="P3" s="254"/>
      <c r="Q3" s="254"/>
      <c r="R3" s="254"/>
      <c r="S3" s="254"/>
      <c r="T3" s="254"/>
      <c r="U3" s="234"/>
      <c r="V3" s="234"/>
      <c r="W3" s="234"/>
      <c r="X3" s="234"/>
      <c r="Y3" s="234"/>
      <c r="Z3" s="234"/>
      <c r="AA3" s="234"/>
      <c r="AB3" s="234"/>
      <c r="AC3" s="234"/>
      <c r="AD3" s="234"/>
      <c r="AE3" s="234"/>
      <c r="AF3" s="234"/>
      <c r="AG3" s="234"/>
      <c r="AH3" s="234"/>
      <c r="AI3" s="234"/>
      <c r="AJ3" s="234"/>
      <c r="AK3" s="234"/>
      <c r="AL3" s="234"/>
      <c r="AM3" s="234"/>
      <c r="AN3" s="234"/>
      <c r="AO3" s="234"/>
      <c r="AP3" s="234"/>
      <c r="AQ3" s="234"/>
      <c r="AR3" s="234"/>
      <c r="AS3" s="234"/>
      <c r="AT3" s="234"/>
      <c r="AU3" s="234"/>
      <c r="AV3" s="234"/>
      <c r="AW3" s="234"/>
      <c r="AX3" s="234"/>
      <c r="AY3" s="234"/>
      <c r="AZ3" s="234"/>
      <c r="BA3" s="234"/>
      <c r="BB3" s="234"/>
      <c r="BC3" s="234"/>
      <c r="BD3" s="234"/>
      <c r="BE3" s="234"/>
      <c r="BF3" s="234"/>
      <c r="BG3" s="234"/>
      <c r="BH3" s="234"/>
      <c r="BI3" s="234"/>
      <c r="BJ3" s="234"/>
      <c r="BK3" s="234"/>
      <c r="BL3" s="234"/>
      <c r="BM3" s="234"/>
      <c r="BN3" s="234"/>
      <c r="BO3" s="234"/>
      <c r="BP3" s="234"/>
      <c r="BQ3" s="234"/>
      <c r="BR3" s="234"/>
      <c r="BS3" s="234"/>
      <c r="BT3" s="234"/>
      <c r="BU3" s="234"/>
      <c r="BV3" s="234"/>
      <c r="BW3" s="234"/>
      <c r="BX3" s="234"/>
      <c r="BY3" s="234"/>
      <c r="BZ3" s="234"/>
      <c r="CA3" s="234"/>
      <c r="CB3" s="234"/>
      <c r="CC3" s="234"/>
      <c r="CD3" s="234"/>
      <c r="CE3" s="234"/>
      <c r="CF3" s="234"/>
      <c r="CG3" s="234"/>
      <c r="CH3" s="234"/>
      <c r="CI3" s="234"/>
      <c r="CJ3" s="234"/>
      <c r="CK3" s="234"/>
      <c r="CL3" s="234"/>
      <c r="CM3" s="234"/>
      <c r="CN3" s="234"/>
      <c r="CO3" s="234"/>
      <c r="CP3" s="234"/>
      <c r="CQ3" s="234"/>
      <c r="CR3" s="234"/>
      <c r="CS3" s="234"/>
      <c r="CT3" s="234"/>
      <c r="CU3" s="234"/>
      <c r="CV3" s="234"/>
      <c r="CW3" s="234"/>
      <c r="CX3" s="234"/>
      <c r="CY3" s="234"/>
      <c r="CZ3" s="234"/>
      <c r="DA3" s="234"/>
      <c r="DB3" s="234"/>
      <c r="DC3" s="234"/>
      <c r="DD3" s="234"/>
      <c r="DE3" s="234"/>
      <c r="DF3" s="234"/>
      <c r="DG3" s="234"/>
      <c r="DH3" s="234"/>
      <c r="DI3" s="234"/>
      <c r="DJ3" s="234"/>
      <c r="DK3" s="234"/>
      <c r="DL3" s="234"/>
      <c r="DM3" s="234"/>
      <c r="DN3" s="234"/>
      <c r="DO3" s="234"/>
      <c r="DP3" s="234"/>
      <c r="DQ3" s="234"/>
      <c r="DR3" s="234"/>
      <c r="DS3" s="234"/>
      <c r="DT3" s="234"/>
      <c r="DU3" s="234"/>
      <c r="DV3" s="234"/>
      <c r="DW3" s="234"/>
      <c r="DX3" s="234"/>
      <c r="DY3" s="234"/>
      <c r="DZ3" s="234"/>
      <c r="EA3" s="234"/>
      <c r="EB3" s="234"/>
      <c r="EC3" s="234"/>
      <c r="ED3" s="234"/>
      <c r="EE3" s="234"/>
      <c r="EF3" s="234"/>
      <c r="EG3" s="234"/>
      <c r="EH3" s="234"/>
      <c r="EI3" s="234"/>
      <c r="EJ3" s="234"/>
      <c r="EK3" s="234"/>
      <c r="EL3" s="234"/>
      <c r="EM3" s="234"/>
      <c r="EN3" s="234"/>
      <c r="EO3" s="234"/>
      <c r="EP3" s="234"/>
      <c r="EQ3" s="234"/>
      <c r="ER3" s="234"/>
      <c r="ES3" s="234"/>
      <c r="ET3" s="234"/>
      <c r="EU3" s="234"/>
      <c r="EV3" s="234"/>
      <c r="EW3" s="234"/>
      <c r="EX3" s="234"/>
      <c r="EY3" s="234"/>
      <c r="EZ3" s="234"/>
      <c r="FA3" s="234"/>
      <c r="FB3" s="234"/>
      <c r="FC3" s="234"/>
      <c r="FD3" s="234"/>
      <c r="FE3" s="234"/>
      <c r="FF3" s="234"/>
      <c r="FG3" s="234"/>
      <c r="FH3" s="234"/>
      <c r="FI3" s="234"/>
      <c r="FJ3" s="234"/>
      <c r="FK3" s="234"/>
      <c r="FL3" s="234"/>
      <c r="FM3" s="234"/>
      <c r="FN3" s="234"/>
      <c r="FO3" s="234"/>
      <c r="FP3" s="234"/>
      <c r="FQ3" s="234"/>
      <c r="FR3" s="234"/>
      <c r="FS3" s="234"/>
      <c r="FT3" s="234"/>
      <c r="FU3" s="234"/>
      <c r="FV3" s="234"/>
      <c r="FW3" s="234"/>
      <c r="FX3" s="234"/>
      <c r="FY3" s="234"/>
      <c r="FZ3" s="234"/>
      <c r="GA3" s="234"/>
      <c r="GB3" s="234"/>
      <c r="GC3" s="234"/>
      <c r="GD3" s="234"/>
      <c r="GE3" s="234"/>
      <c r="GF3" s="234"/>
      <c r="GG3" s="234"/>
      <c r="GH3" s="234"/>
      <c r="GI3" s="234"/>
      <c r="GJ3" s="234"/>
      <c r="GK3" s="234"/>
      <c r="GL3" s="234"/>
      <c r="GM3" s="234"/>
      <c r="GN3" s="234"/>
      <c r="GO3" s="234"/>
      <c r="GP3" s="234"/>
      <c r="GQ3" s="234"/>
      <c r="GR3" s="234"/>
      <c r="GS3" s="234"/>
      <c r="GT3" s="234"/>
      <c r="GU3" s="234"/>
      <c r="GV3" s="234"/>
      <c r="GW3" s="234"/>
      <c r="GX3" s="234"/>
      <c r="GY3" s="234"/>
      <c r="GZ3" s="234"/>
      <c r="HA3" s="234"/>
      <c r="HB3" s="234"/>
      <c r="HC3" s="234"/>
      <c r="HD3" s="234"/>
      <c r="HE3" s="234"/>
      <c r="HF3" s="234"/>
      <c r="HG3" s="234"/>
      <c r="HH3" s="234"/>
      <c r="HI3" s="234"/>
      <c r="HJ3" s="234"/>
      <c r="HK3" s="234"/>
      <c r="HL3" s="234"/>
      <c r="HM3" s="234"/>
      <c r="HN3" s="234"/>
      <c r="HO3" s="234"/>
      <c r="HP3" s="234"/>
      <c r="HQ3" s="234"/>
      <c r="HR3" s="234"/>
      <c r="HS3" s="234"/>
      <c r="HT3" s="234"/>
      <c r="HU3" s="234"/>
      <c r="HV3" s="234"/>
      <c r="HW3" s="234"/>
      <c r="HX3" s="234"/>
      <c r="HY3" s="234"/>
      <c r="HZ3" s="234"/>
      <c r="IA3" s="234"/>
      <c r="IB3" s="234"/>
      <c r="IC3" s="234"/>
      <c r="ID3" s="234"/>
      <c r="IE3" s="234"/>
      <c r="IF3" s="234"/>
      <c r="IG3" s="234"/>
      <c r="IH3" s="234"/>
      <c r="II3" s="234"/>
      <c r="IJ3" s="234"/>
      <c r="IK3" s="234"/>
      <c r="IL3" s="234"/>
      <c r="IM3" s="234"/>
      <c r="IN3" s="234"/>
      <c r="IO3" s="234"/>
      <c r="IP3" s="234"/>
      <c r="IQ3" s="234"/>
      <c r="IR3" s="234"/>
      <c r="IS3" s="234"/>
      <c r="IT3" s="234"/>
      <c r="IU3" s="518">
        <v>4</v>
      </c>
    </row>
    <row s="1826" customFormat="1" customHeight="1" ht="14.699999999999998">
      <c r="A4" s="1162"/>
      <c r="B4" s="1167"/>
      <c r="C4" s="1162"/>
      <c r="D4" s="1502"/>
      <c r="E4" s="516"/>
      <c r="F4" s="1649"/>
      <c r="G4" s="516"/>
      <c r="H4" s="516"/>
      <c r="I4" s="516"/>
      <c r="J4" s="173"/>
      <c r="K4" s="254"/>
      <c r="L4" s="507"/>
      <c r="M4" s="507"/>
      <c r="N4" s="507"/>
      <c r="O4" s="233"/>
      <c r="P4" s="507"/>
      <c r="Q4" s="232"/>
      <c r="R4" s="232"/>
      <c r="S4" s="232"/>
      <c r="T4" s="232"/>
      <c r="IU4" s="514">
        <v>14</v>
      </c>
    </row>
    <row s="1826" customFormat="1" customHeight="1" ht="27.299999999999997">
      <c r="A5" s="1162"/>
      <c r="B5" s="1167"/>
      <c r="C5" s="1162"/>
      <c r="D5" s="1502"/>
      <c r="E5" s="2107"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7"/>
      <c r="G5" s="2107"/>
      <c r="H5" s="2107"/>
      <c r="I5" s="2107"/>
      <c r="J5" s="2107"/>
      <c r="K5" s="254"/>
      <c r="L5" s="507"/>
      <c r="M5" s="507"/>
      <c r="N5" s="507"/>
      <c r="O5" s="233"/>
      <c r="P5" s="507"/>
      <c r="Q5" s="232"/>
      <c r="R5" s="232"/>
      <c r="S5" s="232"/>
      <c r="T5" s="232"/>
      <c r="IU5" s="514">
        <v>26</v>
      </c>
    </row>
    <row s="1826" customFormat="1" customHeight="1" ht="14.699999999999998">
      <c r="A6" s="1162"/>
      <c r="B6" s="1167"/>
      <c r="C6" s="1162"/>
      <c r="D6" s="1502"/>
      <c r="E6" s="516"/>
      <c r="F6" s="174"/>
      <c r="G6" s="174"/>
      <c r="H6" s="174"/>
      <c r="I6" s="174"/>
      <c r="J6" s="175"/>
      <c r="K6" s="507"/>
      <c r="L6" s="507"/>
      <c r="M6" s="507"/>
      <c r="N6" s="507"/>
      <c r="O6" s="233"/>
      <c r="P6" s="507"/>
      <c r="Q6" s="232"/>
      <c r="R6" s="232"/>
      <c r="S6" s="232"/>
      <c r="T6" s="232"/>
      <c r="IU6" s="514">
        <v>14</v>
      </c>
    </row>
    <row s="1826" customFormat="1" customHeight="1" ht="14.699999999999998">
      <c r="A7" s="1162"/>
      <c r="B7" s="1167"/>
      <c r="C7" s="1162"/>
      <c r="D7" s="1502"/>
      <c r="E7" s="2108" t="s">
        <v>463</v>
      </c>
      <c r="F7" s="2109"/>
      <c r="G7" s="2109"/>
      <c r="H7" s="2109"/>
      <c r="I7" s="2109"/>
      <c r="J7" s="2481" t="s">
        <v>464</v>
      </c>
      <c r="K7" s="507"/>
      <c r="L7" s="507"/>
      <c r="M7" s="507"/>
      <c r="N7" s="507"/>
      <c r="O7" s="233"/>
      <c r="P7" s="507"/>
      <c r="Q7" s="232"/>
      <c r="R7" s="232"/>
      <c r="S7" s="232"/>
      <c r="T7" s="232"/>
      <c r="IU7" s="514">
        <v>14</v>
      </c>
    </row>
    <row s="1826" customFormat="1" customHeight="1" ht="21">
      <c r="A8" s="1162"/>
      <c r="B8" s="1167"/>
      <c r="C8" s="1162"/>
      <c r="D8" s="1502"/>
      <c r="E8" s="1555" t="s">
        <v>88</v>
      </c>
      <c r="F8" s="1547" t="s">
        <v>2023</v>
      </c>
      <c r="G8" s="1547" t="s">
        <v>49</v>
      </c>
      <c r="H8" s="1547" t="s">
        <v>51</v>
      </c>
      <c r="I8" s="1547" t="s">
        <v>2024</v>
      </c>
      <c r="J8" s="2482"/>
      <c r="K8" s="507"/>
      <c r="L8" s="507"/>
      <c r="M8" s="507"/>
      <c r="N8" s="507"/>
      <c r="O8" s="233"/>
      <c r="P8" s="507"/>
      <c r="Q8" s="232"/>
      <c r="R8" s="232"/>
      <c r="S8" s="232"/>
      <c r="T8" s="232"/>
      <c r="IU8" s="514">
        <v>20</v>
      </c>
    </row>
    <row s="1857" customFormat="1" customHeight="1" ht="23.25">
      <c r="A9" s="1638"/>
      <c r="B9" s="1167">
        <v>1</v>
      </c>
      <c r="C9" s="1167"/>
      <c r="D9" s="808"/>
      <c r="E9" s="1491">
        <v>1</v>
      </c>
      <c r="F9" s="1554"/>
      <c r="G9" s="1498"/>
      <c r="H9" s="1498"/>
      <c r="I9" s="1545"/>
      <c r="J9" s="2176"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42"/>
      <c r="L9" s="518"/>
      <c r="M9" s="518"/>
      <c r="N9" s="507" t="str">
        <f t="array" ref="N9:N9">IF(ISERROR(MATCH(MID(O9,1,250),MID(note_ter,1,250),0)),"n","y")</f>
        <v>n</v>
      </c>
      <c r="O9" s="518"/>
      <c r="P9" s="507"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7"/>
      <c r="R9" s="1167"/>
      <c r="S9" s="427"/>
      <c r="T9" s="1167"/>
      <c r="U9" s="1167"/>
      <c r="V9" s="1167"/>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c r="IU9" s="430">
        <v>22</v>
      </c>
    </row>
    <row s="1857" customFormat="1" customHeight="1" ht="15.75">
      <c r="A10" s="1638"/>
      <c r="B10" s="1167"/>
      <c r="C10" s="419"/>
      <c r="D10" s="808"/>
      <c r="E10" s="1548"/>
      <c r="F10" s="1507" t="s">
        <v>2025</v>
      </c>
      <c r="G10" s="1549"/>
      <c r="H10" s="1549"/>
      <c r="I10" s="1906"/>
      <c r="J10" s="2178"/>
      <c r="K10" s="1543"/>
      <c r="L10" s="518"/>
      <c r="M10" s="518"/>
      <c r="N10" s="518"/>
      <c r="O10" s="507"/>
      <c r="P10" s="518"/>
      <c r="Q10" s="1167"/>
      <c r="R10" s="1167"/>
      <c r="S10" s="427"/>
      <c r="T10" s="1167"/>
      <c r="U10" s="1167"/>
      <c r="V10" s="1167"/>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c r="IU10" s="430">
        <v>15</v>
      </c>
    </row>
    <row s="1826" customFormat="1" customHeight="1" ht="22.049999999999997">
      <c r="A11" s="1162"/>
      <c r="B11" s="1167"/>
      <c r="C11" s="1162"/>
      <c r="D11" s="458"/>
      <c r="E11" s="187"/>
      <c r="F11" s="187"/>
      <c r="G11" s="187"/>
      <c r="H11" s="187"/>
      <c r="I11" s="187"/>
      <c r="J11" s="187"/>
      <c r="K11" s="507"/>
      <c r="L11" s="507"/>
      <c r="M11" s="507"/>
      <c r="N11" s="507"/>
      <c r="O11" s="233"/>
      <c r="P11" s="507"/>
      <c r="Q11" s="232"/>
      <c r="R11" s="232"/>
      <c r="S11" s="232"/>
      <c r="T11" s="232"/>
      <c r="IU11" s="514">
        <v>21</v>
      </c>
    </row>
    <row s="1826" customFormat="1" customHeight="1" ht="14.699999999999998">
      <c r="A12" s="1162"/>
      <c r="B12" s="1167"/>
      <c r="C12" s="1162"/>
      <c r="D12" s="458"/>
      <c r="E12" s="1162"/>
      <c r="F12" s="1162"/>
      <c r="G12" s="1162"/>
      <c r="H12" s="1162"/>
      <c r="I12" s="1162"/>
      <c r="J12" s="1162"/>
      <c r="K12" s="507"/>
      <c r="L12" s="507"/>
      <c r="M12" s="507"/>
      <c r="N12" s="507"/>
      <c r="O12" s="233"/>
      <c r="P12" s="507"/>
      <c r="Q12" s="232"/>
      <c r="R12" s="232"/>
      <c r="S12" s="232"/>
      <c r="T12" s="232"/>
      <c r="IU12" s="514">
        <v>14</v>
      </c>
    </row>
    <row s="1826" customFormat="1" customHeight="1" ht="1.05">
      <c r="A13" s="1162"/>
      <c r="B13" s="1167"/>
      <c r="C13" s="1162"/>
      <c r="D13" s="458"/>
      <c r="E13" s="1162"/>
      <c r="F13" s="1162"/>
      <c r="G13" s="1162"/>
      <c r="H13" s="1162"/>
      <c r="I13" s="1162"/>
      <c r="J13" s="1162"/>
      <c r="K13" s="507"/>
      <c r="L13" s="507"/>
      <c r="M13" s="507"/>
      <c r="N13" s="507"/>
      <c r="O13" s="233"/>
      <c r="P13" s="507"/>
      <c r="Q13" s="232"/>
      <c r="R13" s="232"/>
      <c r="S13" s="232"/>
      <c r="T13" s="232"/>
      <c r="IU13" s="514">
        <v>1</v>
      </c>
    </row>
    <row s="1071" customFormat="1" customHeight="1" ht="10.5">
      <c r="B14" s="841"/>
      <c r="D14" s="189"/>
      <c r="K14" s="507"/>
      <c r="L14" s="507"/>
      <c r="M14" s="507"/>
      <c r="N14" s="507"/>
      <c r="O14" s="233"/>
      <c r="P14" s="507"/>
      <c r="Q14" s="232"/>
      <c r="R14" s="232"/>
      <c r="S14" s="232"/>
      <c r="T14" s="232"/>
      <c r="IU14" s="188">
        <v>10</v>
      </c>
    </row>
    <row s="1071" customFormat="1" customHeight="1" ht="10.5">
      <c r="B15" s="841"/>
      <c r="D15" s="189"/>
      <c r="K15" s="507"/>
      <c r="L15" s="507"/>
      <c r="M15" s="507"/>
      <c r="N15" s="507"/>
      <c r="O15" s="233"/>
      <c r="P15" s="507"/>
      <c r="Q15" s="232"/>
      <c r="R15" s="232"/>
      <c r="S15" s="232"/>
      <c r="T15" s="232"/>
      <c r="IU15" s="188">
        <v>10</v>
      </c>
    </row>
    <row customHeight="1" ht="14.699999999999998">
      <c r="IU16" s="1162">
        <v>14</v>
      </c>
    </row>
    <row customHeight="1" ht="14.699999999999998">
      <c r="IU17" s="1162">
        <v>14</v>
      </c>
    </row>
    <row customHeight="1" ht="14.699999999999998">
      <c r="IU18" s="1162">
        <v>14</v>
      </c>
    </row>
    <row customHeight="1" ht="14.699999999999998">
      <c r="G19" s="380"/>
      <c r="H19" s="380"/>
      <c r="I19" s="380"/>
      <c r="IU19" s="1162">
        <v>14</v>
      </c>
    </row>
    <row customHeight="1" ht="14.699999999999998">
      <c r="IU20" s="1162">
        <v>14</v>
      </c>
    </row>
    <row customHeight="1" ht="14.699999999999998">
      <c r="IU21" s="1162">
        <v>14</v>
      </c>
    </row>
    <row customHeight="1" ht="14.699999999999998">
      <c r="IU22" s="1162">
        <v>14</v>
      </c>
    </row>
    <row customHeight="1" ht="14.699999999999998">
      <c r="K23" s="1162"/>
      <c r="L23" s="1162"/>
      <c r="M23" s="1162"/>
      <c r="IU23" s="1162">
        <v>14</v>
      </c>
    </row>
    <row customHeight="1" ht="22.5" hidden="1">
      <c r="A24" s="1162" t="s">
        <v>82</v>
      </c>
      <c r="B24" s="1167">
        <v>0</v>
      </c>
      <c r="C24" s="1162">
        <v>0</v>
      </c>
      <c r="D24" s="458">
        <v>3</v>
      </c>
      <c r="E24" s="1162">
        <v>6</v>
      </c>
      <c r="F24" s="1162">
        <v>46</v>
      </c>
      <c r="G24" s="1162">
        <v>16</v>
      </c>
      <c r="H24" s="1162">
        <v>16</v>
      </c>
      <c r="I24" s="1162">
        <v>35</v>
      </c>
      <c r="J24" s="1162">
        <v>89</v>
      </c>
      <c r="K24" s="507">
        <v>3</v>
      </c>
      <c r="L24" s="507">
        <v>8</v>
      </c>
      <c r="M24" s="507">
        <v>8</v>
      </c>
      <c r="N24" s="507">
        <v>8</v>
      </c>
      <c r="O24" s="233">
        <v>25</v>
      </c>
      <c r="P24" s="507">
        <v>14</v>
      </c>
      <c r="Q24" s="232">
        <v>8</v>
      </c>
      <c r="R24" s="232">
        <v>8</v>
      </c>
      <c r="S24" s="232">
        <v>8</v>
      </c>
      <c r="T24" s="232">
        <v>8</v>
      </c>
      <c r="U24" s="1162">
        <v>8</v>
      </c>
      <c r="V24" s="1162">
        <v>8</v>
      </c>
      <c r="W24" s="1162">
        <v>8</v>
      </c>
      <c r="X24" s="1162">
        <v>8</v>
      </c>
      <c r="Y24" s="1162">
        <v>8</v>
      </c>
      <c r="Z24" s="1162">
        <v>8</v>
      </c>
      <c r="AA24" s="1162">
        <v>8</v>
      </c>
      <c r="AB24" s="1162">
        <v>8</v>
      </c>
      <c r="AC24" s="1162">
        <v>8</v>
      </c>
      <c r="AD24" s="1162">
        <v>8</v>
      </c>
      <c r="AE24" s="1162">
        <v>8</v>
      </c>
      <c r="AF24" s="1162">
        <v>8</v>
      </c>
      <c r="AG24" s="1162">
        <v>8</v>
      </c>
      <c r="AH24" s="1162">
        <v>8</v>
      </c>
      <c r="AI24" s="1162">
        <v>8</v>
      </c>
      <c r="AJ24" s="1162">
        <v>8</v>
      </c>
      <c r="AK24" s="1162">
        <v>8</v>
      </c>
      <c r="AL24" s="1162">
        <v>8</v>
      </c>
      <c r="AM24" s="1162">
        <v>8</v>
      </c>
      <c r="AN24" s="1162">
        <v>8</v>
      </c>
      <c r="AO24" s="1162">
        <v>8</v>
      </c>
      <c r="AP24" s="1162">
        <v>8</v>
      </c>
      <c r="AQ24" s="1162">
        <v>8</v>
      </c>
      <c r="AR24" s="1162">
        <v>8</v>
      </c>
      <c r="AS24" s="1162">
        <v>8</v>
      </c>
      <c r="AT24" s="1162">
        <v>8</v>
      </c>
      <c r="AU24" s="1162">
        <v>8</v>
      </c>
      <c r="AV24" s="1162">
        <v>8</v>
      </c>
      <c r="AW24" s="1162">
        <v>8</v>
      </c>
      <c r="AX24" s="1162">
        <v>8</v>
      </c>
      <c r="AY24" s="1162">
        <v>8</v>
      </c>
      <c r="AZ24" s="1162">
        <v>8</v>
      </c>
      <c r="BA24" s="1162">
        <v>8</v>
      </c>
      <c r="BB24" s="1162">
        <v>8</v>
      </c>
      <c r="BC24" s="1162">
        <v>8</v>
      </c>
      <c r="BD24" s="1162">
        <v>8</v>
      </c>
      <c r="BE24" s="1162">
        <v>8</v>
      </c>
      <c r="BF24" s="1162">
        <v>8</v>
      </c>
      <c r="BG24" s="1162">
        <v>8</v>
      </c>
      <c r="BH24" s="1162">
        <v>8</v>
      </c>
      <c r="BI24" s="1162">
        <v>8</v>
      </c>
      <c r="BJ24" s="1162">
        <v>8</v>
      </c>
      <c r="BK24" s="1162">
        <v>8</v>
      </c>
      <c r="BL24" s="1162">
        <v>8</v>
      </c>
      <c r="BM24" s="1162">
        <v>8</v>
      </c>
      <c r="BN24" s="1162">
        <v>8</v>
      </c>
      <c r="BO24" s="1162">
        <v>8</v>
      </c>
      <c r="BP24" s="1162">
        <v>8</v>
      </c>
      <c r="BQ24" s="1162">
        <v>8</v>
      </c>
      <c r="BR24" s="1162">
        <v>8</v>
      </c>
      <c r="BS24" s="1162">
        <v>8</v>
      </c>
      <c r="BT24" s="1162">
        <v>8</v>
      </c>
      <c r="BU24" s="1162">
        <v>8</v>
      </c>
      <c r="BV24" s="1162">
        <v>8</v>
      </c>
      <c r="BW24" s="1162">
        <v>8</v>
      </c>
      <c r="BX24" s="1162">
        <v>8</v>
      </c>
      <c r="BY24" s="1162">
        <v>8</v>
      </c>
      <c r="BZ24" s="1162">
        <v>8</v>
      </c>
      <c r="CA24" s="1162">
        <v>8</v>
      </c>
      <c r="CB24" s="1162">
        <v>8</v>
      </c>
      <c r="CC24" s="1162">
        <v>8</v>
      </c>
      <c r="CD24" s="1162">
        <v>8</v>
      </c>
      <c r="CE24" s="1162">
        <v>8</v>
      </c>
      <c r="CF24" s="1162">
        <v>8</v>
      </c>
      <c r="CG24" s="1162">
        <v>8</v>
      </c>
      <c r="CH24" s="1162">
        <v>8</v>
      </c>
      <c r="CI24" s="1162">
        <v>8</v>
      </c>
      <c r="CJ24" s="1162">
        <v>8</v>
      </c>
      <c r="CK24" s="1162">
        <v>8</v>
      </c>
      <c r="CL24" s="1162">
        <v>8</v>
      </c>
      <c r="CM24" s="1162">
        <v>8</v>
      </c>
      <c r="CN24" s="1162">
        <v>8</v>
      </c>
      <c r="CO24" s="1162">
        <v>8</v>
      </c>
      <c r="CP24" s="1162">
        <v>8</v>
      </c>
      <c r="CQ24" s="1162">
        <v>8</v>
      </c>
      <c r="CR24" s="1162">
        <v>8</v>
      </c>
      <c r="CS24" s="1162">
        <v>8</v>
      </c>
      <c r="CT24" s="1162">
        <v>8</v>
      </c>
      <c r="CU24" s="1162">
        <v>8</v>
      </c>
      <c r="CV24" s="1162">
        <v>8</v>
      </c>
      <c r="CW24" s="1162">
        <v>8</v>
      </c>
      <c r="CX24" s="1162">
        <v>8</v>
      </c>
      <c r="CY24" s="1162">
        <v>8</v>
      </c>
      <c r="CZ24" s="1162">
        <v>8</v>
      </c>
      <c r="DA24" s="1162">
        <v>8</v>
      </c>
      <c r="DB24" s="1162">
        <v>8</v>
      </c>
      <c r="DC24" s="1162">
        <v>8</v>
      </c>
      <c r="DD24" s="1162">
        <v>8</v>
      </c>
      <c r="DE24" s="1162">
        <v>8</v>
      </c>
      <c r="DF24" s="1162">
        <v>8</v>
      </c>
      <c r="DG24" s="1162">
        <v>8</v>
      </c>
      <c r="DH24" s="1162">
        <v>8</v>
      </c>
      <c r="DI24" s="1162">
        <v>8</v>
      </c>
      <c r="DJ24" s="1162">
        <v>8</v>
      </c>
      <c r="DK24" s="1162">
        <v>8</v>
      </c>
      <c r="DL24" s="1162">
        <v>8</v>
      </c>
      <c r="DM24" s="1162">
        <v>8</v>
      </c>
      <c r="DN24" s="1162">
        <v>8</v>
      </c>
      <c r="DO24" s="1162">
        <v>8</v>
      </c>
      <c r="DP24" s="1162">
        <v>8</v>
      </c>
      <c r="DQ24" s="1162">
        <v>8</v>
      </c>
      <c r="DR24" s="1162">
        <v>8</v>
      </c>
      <c r="DS24" s="1162">
        <v>8</v>
      </c>
      <c r="DT24" s="1162">
        <v>8</v>
      </c>
      <c r="DU24" s="1162">
        <v>8</v>
      </c>
      <c r="DV24" s="1162">
        <v>8</v>
      </c>
      <c r="DW24" s="1162">
        <v>8</v>
      </c>
      <c r="DX24" s="1162">
        <v>8</v>
      </c>
      <c r="DY24" s="1162">
        <v>8</v>
      </c>
      <c r="DZ24" s="1162">
        <v>8</v>
      </c>
      <c r="EA24" s="1162">
        <v>8</v>
      </c>
      <c r="EB24" s="1162">
        <v>8</v>
      </c>
      <c r="EC24" s="1162">
        <v>8</v>
      </c>
      <c r="ED24" s="1162">
        <v>8</v>
      </c>
      <c r="EE24" s="1162">
        <v>8</v>
      </c>
      <c r="EF24" s="1162">
        <v>8</v>
      </c>
      <c r="EG24" s="1162">
        <v>8</v>
      </c>
      <c r="EH24" s="1162">
        <v>8</v>
      </c>
      <c r="EI24" s="1162">
        <v>8</v>
      </c>
      <c r="EJ24" s="1162">
        <v>8</v>
      </c>
      <c r="EK24" s="1162">
        <v>8</v>
      </c>
      <c r="EL24" s="1162">
        <v>8</v>
      </c>
      <c r="EM24" s="1162">
        <v>8</v>
      </c>
      <c r="EN24" s="1162">
        <v>8</v>
      </c>
      <c r="EO24" s="1162">
        <v>8</v>
      </c>
      <c r="EP24" s="1162">
        <v>8</v>
      </c>
      <c r="EQ24" s="1162">
        <v>8</v>
      </c>
      <c r="ER24" s="1162">
        <v>8</v>
      </c>
      <c r="ES24" s="1162">
        <v>8</v>
      </c>
      <c r="ET24" s="1162">
        <v>8</v>
      </c>
      <c r="EU24" s="1162">
        <v>8</v>
      </c>
      <c r="EV24" s="1162">
        <v>8</v>
      </c>
      <c r="EW24" s="1162">
        <v>8</v>
      </c>
      <c r="EX24" s="1162">
        <v>8</v>
      </c>
      <c r="EY24" s="1162">
        <v>8</v>
      </c>
      <c r="EZ24" s="1162">
        <v>8</v>
      </c>
      <c r="FA24" s="1162">
        <v>8</v>
      </c>
      <c r="FB24" s="1162">
        <v>8</v>
      </c>
      <c r="FC24" s="1162">
        <v>8</v>
      </c>
      <c r="FD24" s="1162">
        <v>8</v>
      </c>
      <c r="FE24" s="1162">
        <v>8</v>
      </c>
      <c r="FF24" s="1162">
        <v>8</v>
      </c>
      <c r="FG24" s="1162">
        <v>8</v>
      </c>
      <c r="FH24" s="1162">
        <v>8</v>
      </c>
      <c r="FI24" s="1162">
        <v>8</v>
      </c>
      <c r="FJ24" s="1162">
        <v>8</v>
      </c>
      <c r="FK24" s="1162">
        <v>8</v>
      </c>
      <c r="FL24" s="1162">
        <v>8</v>
      </c>
      <c r="FM24" s="1162">
        <v>8</v>
      </c>
      <c r="FN24" s="1162">
        <v>8</v>
      </c>
      <c r="FO24" s="1162">
        <v>8</v>
      </c>
      <c r="FP24" s="1162">
        <v>8</v>
      </c>
      <c r="FQ24" s="1162">
        <v>8</v>
      </c>
      <c r="FR24" s="1162">
        <v>8</v>
      </c>
      <c r="FS24" s="1162">
        <v>8</v>
      </c>
      <c r="FT24" s="1162">
        <v>8</v>
      </c>
      <c r="FU24" s="1162">
        <v>8</v>
      </c>
      <c r="FV24" s="1162">
        <v>8</v>
      </c>
      <c r="FW24" s="1162">
        <v>8</v>
      </c>
      <c r="FX24" s="1162">
        <v>8</v>
      </c>
      <c r="FY24" s="1162">
        <v>8</v>
      </c>
      <c r="FZ24" s="1162">
        <v>8</v>
      </c>
      <c r="GA24" s="1162">
        <v>8</v>
      </c>
      <c r="GB24" s="1162">
        <v>8</v>
      </c>
      <c r="GC24" s="1162">
        <v>8</v>
      </c>
      <c r="GD24" s="1162">
        <v>8</v>
      </c>
      <c r="GE24" s="1162">
        <v>8</v>
      </c>
      <c r="GF24" s="1162">
        <v>8</v>
      </c>
      <c r="GG24" s="1162">
        <v>8</v>
      </c>
      <c r="GH24" s="1162">
        <v>8</v>
      </c>
      <c r="GI24" s="1162">
        <v>8</v>
      </c>
      <c r="GJ24" s="1162">
        <v>8</v>
      </c>
      <c r="GK24" s="1162">
        <v>8</v>
      </c>
      <c r="GL24" s="1162">
        <v>8</v>
      </c>
      <c r="GM24" s="1162">
        <v>8</v>
      </c>
      <c r="GN24" s="1162">
        <v>8</v>
      </c>
      <c r="GO24" s="1162">
        <v>8</v>
      </c>
      <c r="GP24" s="1162">
        <v>8</v>
      </c>
      <c r="GQ24" s="1162">
        <v>8</v>
      </c>
      <c r="GR24" s="1162">
        <v>8</v>
      </c>
      <c r="GS24" s="1162">
        <v>8</v>
      </c>
      <c r="GT24" s="1162">
        <v>8</v>
      </c>
      <c r="GU24" s="1162">
        <v>8</v>
      </c>
      <c r="GV24" s="1162">
        <v>8</v>
      </c>
      <c r="GW24" s="1162">
        <v>8</v>
      </c>
      <c r="GX24" s="1162">
        <v>8</v>
      </c>
      <c r="GY24" s="1162">
        <v>8</v>
      </c>
      <c r="GZ24" s="1162">
        <v>8</v>
      </c>
      <c r="HA24" s="1162">
        <v>8</v>
      </c>
      <c r="HB24" s="1162">
        <v>8</v>
      </c>
      <c r="HC24" s="1162">
        <v>8</v>
      </c>
      <c r="HD24" s="1162">
        <v>8</v>
      </c>
      <c r="HE24" s="1162">
        <v>8</v>
      </c>
      <c r="HF24" s="1162">
        <v>8</v>
      </c>
      <c r="HG24" s="1162">
        <v>8</v>
      </c>
      <c r="HH24" s="1162">
        <v>8</v>
      </c>
      <c r="HI24" s="1162">
        <v>8</v>
      </c>
      <c r="HJ24" s="1162">
        <v>8</v>
      </c>
      <c r="HK24" s="1162">
        <v>8</v>
      </c>
      <c r="HL24" s="1162">
        <v>8</v>
      </c>
      <c r="HM24" s="1162">
        <v>8</v>
      </c>
      <c r="HN24" s="1162">
        <v>8</v>
      </c>
      <c r="HO24" s="1162">
        <v>8</v>
      </c>
      <c r="HP24" s="1162">
        <v>8</v>
      </c>
      <c r="HQ24" s="1162">
        <v>8</v>
      </c>
      <c r="HR24" s="1162">
        <v>8</v>
      </c>
      <c r="HS24" s="1162">
        <v>8</v>
      </c>
      <c r="HT24" s="1162">
        <v>8</v>
      </c>
      <c r="HU24" s="1162">
        <v>8</v>
      </c>
      <c r="HV24" s="1162">
        <v>8</v>
      </c>
      <c r="HW24" s="1162">
        <v>8</v>
      </c>
      <c r="HX24" s="1162">
        <v>8</v>
      </c>
      <c r="HY24" s="1162">
        <v>8</v>
      </c>
      <c r="HZ24" s="1162">
        <v>8</v>
      </c>
      <c r="IA24" s="1162">
        <v>8</v>
      </c>
      <c r="IB24" s="1162">
        <v>8</v>
      </c>
      <c r="IC24" s="1162">
        <v>8</v>
      </c>
      <c r="ID24" s="1162">
        <v>8</v>
      </c>
      <c r="IE24" s="1162">
        <v>8</v>
      </c>
      <c r="IF24" s="1162">
        <v>8</v>
      </c>
      <c r="IG24" s="1162">
        <v>8</v>
      </c>
      <c r="IH24" s="1162">
        <v>8</v>
      </c>
      <c r="II24" s="1162">
        <v>8</v>
      </c>
      <c r="IJ24" s="1162">
        <v>8</v>
      </c>
      <c r="IK24" s="1162">
        <v>8</v>
      </c>
      <c r="IL24" s="1162">
        <v>8</v>
      </c>
      <c r="IM24" s="1162">
        <v>8</v>
      </c>
      <c r="IN24" s="1162">
        <v>8</v>
      </c>
      <c r="IO24" s="1162">
        <v>8</v>
      </c>
      <c r="IP24" s="1162">
        <v>8</v>
      </c>
      <c r="IQ24" s="1162">
        <v>8</v>
      </c>
      <c r="IR24" s="1162">
        <v>8</v>
      </c>
      <c r="IS24" s="1162">
        <v>8</v>
      </c>
      <c r="IT24" s="1162">
        <v>8</v>
      </c>
      <c r="IU24" s="1162">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ABEED5-293E-1DF4-F25B-787D698C696C}"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42" width="9.140625" hidden="1"/>
    <col min="2" max="2" style="1373" width="9.140625" hidden="1"/>
    <col min="3" max="3" style="1642" width="3.7109375" hidden="1" customWidth="1"/>
    <col min="4" max="4" style="1849" width="3.00390625" customWidth="1"/>
    <col min="5" max="5" style="1642" width="6.00390625" customWidth="1"/>
    <col min="6" max="6" style="1642" width="27.00390625" customWidth="1"/>
    <col min="7" max="7" style="1642" width="16.00390625" customWidth="1"/>
    <col min="8" max="8" style="1642" width="12.00390625" customWidth="1"/>
    <col min="9" max="9" style="1642" width="32.00390625" customWidth="1"/>
    <col min="10" max="11" style="1642" width="41.00390625" customWidth="1"/>
    <col min="12" max="12" style="1642" width="89.00390625" customWidth="1"/>
    <col min="13" max="13" style="1631" width="3.00390625" customWidth="1"/>
    <col min="14" max="16" style="1631" width="8.00390625" customWidth="1"/>
    <col min="17" max="17" style="1631" width="25.00390625" customWidth="1"/>
    <col min="18" max="18" style="1631" width="14.00390625" customWidth="1"/>
    <col min="19" max="22" style="232" width="8.00390625" customWidth="1"/>
    <col min="23" max="256" style="1642" width="8.00390625" customWidth="1"/>
    <col min="257" max="257" style="1642" width="9.140625" hidden="1"/>
  </cols>
  <sheetData>
    <row customHeight="1" ht="22.5" hidden="1">
      <c r="IW1" s="1162" t="s">
        <v>14</v>
      </c>
    </row>
    <row s="1857" customFormat="1" customHeight="1" ht="22.5" hidden="1">
      <c r="A2" s="838"/>
      <c r="B2" s="1167">
        <v>1</v>
      </c>
      <c r="C2" s="1167"/>
      <c r="D2" s="1935" t="s">
        <v>102</v>
      </c>
      <c r="E2" s="1896"/>
      <c r="F2" s="1899" t="str">
        <f>IF(ROIV_INFO_NAME="","",ROIV_INFO_NAME)</f>
        <v>ГУП "Белоблводоканал"</v>
      </c>
      <c r="G2" s="1924" t="s">
        <v>28</v>
      </c>
      <c r="H2" s="1923"/>
      <c r="I2" s="1545"/>
      <c r="J2" s="825"/>
      <c r="K2" s="825"/>
      <c r="L2" s="235"/>
      <c r="M2" s="1542">
        <f>MERGEVALUE(F2)</f>
      </c>
      <c r="N2" s="518"/>
      <c r="O2" s="518"/>
      <c r="P2" s="507" t="str">
        <f t="array" ref="P2:P2">IF(ISERROR(MATCH(MID(Q2,1,250),MID(note_ter,1,250),0)),"n","y")</f>
        <v>n</v>
      </c>
      <c r="Q2" s="518"/>
      <c r="R2" s="507" t="str">
        <f>G2&amp;"("&amp;L2&amp;")"</f>
        <v>()</v>
      </c>
      <c r="S2" s="1167"/>
      <c r="T2" s="1167"/>
      <c r="U2" s="427"/>
      <c r="V2" s="1167"/>
      <c r="W2" s="1167"/>
      <c r="X2" s="1167"/>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c r="IW2" s="430">
        <v>0</v>
      </c>
    </row>
    <row s="1649" customFormat="1" customHeight="1" ht="5.25" hidden="1">
      <c r="A3" s="503"/>
      <c r="D3" s="501"/>
      <c r="F3" s="254" t="s">
        <v>83</v>
      </c>
      <c r="G3" s="1742" t="s">
        <v>84</v>
      </c>
      <c r="H3" s="501"/>
      <c r="I3" s="501"/>
      <c r="J3" s="501"/>
      <c r="K3" s="501"/>
      <c r="L3" s="234" t="s">
        <v>85</v>
      </c>
      <c r="M3" s="254" t="s">
        <v>83</v>
      </c>
      <c r="N3" s="254"/>
      <c r="O3" s="254"/>
      <c r="P3" s="254"/>
      <c r="Q3" s="255"/>
      <c r="R3" s="254"/>
      <c r="S3" s="254"/>
      <c r="T3" s="254"/>
      <c r="U3" s="254"/>
      <c r="V3" s="254"/>
      <c r="W3" s="234"/>
      <c r="X3" s="234"/>
      <c r="Y3" s="234"/>
      <c r="Z3" s="234"/>
      <c r="AA3" s="234"/>
      <c r="AB3" s="234"/>
      <c r="AC3" s="234"/>
      <c r="AD3" s="234"/>
      <c r="AE3" s="234"/>
      <c r="AF3" s="234"/>
      <c r="AG3" s="234"/>
      <c r="AH3" s="234"/>
      <c r="AI3" s="234"/>
      <c r="AJ3" s="234"/>
      <c r="AK3" s="234"/>
      <c r="AL3" s="234"/>
      <c r="AM3" s="234"/>
      <c r="AN3" s="234"/>
      <c r="AO3" s="234"/>
      <c r="AP3" s="234"/>
      <c r="AQ3" s="234"/>
      <c r="AR3" s="234"/>
      <c r="AS3" s="234"/>
      <c r="AT3" s="234"/>
      <c r="AU3" s="234"/>
      <c r="AV3" s="234"/>
      <c r="AW3" s="234"/>
      <c r="AX3" s="234"/>
      <c r="AY3" s="234"/>
      <c r="AZ3" s="234"/>
      <c r="BA3" s="234"/>
      <c r="BB3" s="234"/>
      <c r="BC3" s="234"/>
      <c r="BD3" s="234"/>
      <c r="BE3" s="234"/>
      <c r="BF3" s="234"/>
      <c r="BG3" s="234"/>
      <c r="BH3" s="234"/>
      <c r="BI3" s="234"/>
      <c r="BJ3" s="234"/>
      <c r="BK3" s="234"/>
      <c r="BL3" s="234"/>
      <c r="BM3" s="234"/>
      <c r="BN3" s="234"/>
      <c r="BO3" s="234"/>
      <c r="BP3" s="234"/>
      <c r="BQ3" s="234"/>
      <c r="BR3" s="234"/>
      <c r="BS3" s="234"/>
      <c r="BT3" s="234"/>
      <c r="BU3" s="234"/>
      <c r="BV3" s="234"/>
      <c r="BW3" s="234"/>
      <c r="BX3" s="234"/>
      <c r="BY3" s="234"/>
      <c r="BZ3" s="234"/>
      <c r="CA3" s="234"/>
      <c r="CB3" s="234"/>
      <c r="CC3" s="234"/>
      <c r="CD3" s="234"/>
      <c r="CE3" s="234"/>
      <c r="CF3" s="234"/>
      <c r="CG3" s="234"/>
      <c r="CH3" s="234"/>
      <c r="CI3" s="234"/>
      <c r="CJ3" s="234"/>
      <c r="CK3" s="234"/>
      <c r="CL3" s="234"/>
      <c r="CM3" s="234"/>
      <c r="CN3" s="234"/>
      <c r="CO3" s="234"/>
      <c r="CP3" s="234"/>
      <c r="CQ3" s="234"/>
      <c r="CR3" s="234"/>
      <c r="CS3" s="234"/>
      <c r="CT3" s="234"/>
      <c r="CU3" s="234"/>
      <c r="CV3" s="234"/>
      <c r="CW3" s="234"/>
      <c r="CX3" s="234"/>
      <c r="CY3" s="234"/>
      <c r="CZ3" s="234"/>
      <c r="DA3" s="234"/>
      <c r="DB3" s="234"/>
      <c r="DC3" s="234"/>
      <c r="DD3" s="234"/>
      <c r="DE3" s="234"/>
      <c r="DF3" s="234"/>
      <c r="DG3" s="234"/>
      <c r="DH3" s="234"/>
      <c r="DI3" s="234"/>
      <c r="DJ3" s="234"/>
      <c r="DK3" s="234"/>
      <c r="DL3" s="234"/>
      <c r="DM3" s="234"/>
      <c r="DN3" s="234"/>
      <c r="DO3" s="234"/>
      <c r="DP3" s="234"/>
      <c r="DQ3" s="234"/>
      <c r="DR3" s="234"/>
      <c r="DS3" s="234"/>
      <c r="DT3" s="234"/>
      <c r="DU3" s="234"/>
      <c r="DV3" s="234"/>
      <c r="DW3" s="234"/>
      <c r="DX3" s="234"/>
      <c r="DY3" s="234"/>
      <c r="DZ3" s="234"/>
      <c r="EA3" s="234"/>
      <c r="EB3" s="234"/>
      <c r="EC3" s="234"/>
      <c r="ED3" s="234"/>
      <c r="EE3" s="234"/>
      <c r="EF3" s="234"/>
      <c r="EG3" s="234"/>
      <c r="EH3" s="234"/>
      <c r="EI3" s="234"/>
      <c r="EJ3" s="234"/>
      <c r="EK3" s="234"/>
      <c r="EL3" s="234"/>
      <c r="EM3" s="234"/>
      <c r="EN3" s="234"/>
      <c r="EO3" s="234"/>
      <c r="EP3" s="234"/>
      <c r="EQ3" s="234"/>
      <c r="ER3" s="234"/>
      <c r="ES3" s="234"/>
      <c r="ET3" s="234"/>
      <c r="EU3" s="234"/>
      <c r="EV3" s="234"/>
      <c r="EW3" s="234"/>
      <c r="EX3" s="234"/>
      <c r="EY3" s="234"/>
      <c r="EZ3" s="234"/>
      <c r="FA3" s="234"/>
      <c r="FB3" s="234"/>
      <c r="FC3" s="234"/>
      <c r="FD3" s="234"/>
      <c r="FE3" s="234"/>
      <c r="FF3" s="234"/>
      <c r="FG3" s="234"/>
      <c r="FH3" s="234"/>
      <c r="FI3" s="234"/>
      <c r="FJ3" s="234"/>
      <c r="FK3" s="234"/>
      <c r="FL3" s="234"/>
      <c r="FM3" s="234"/>
      <c r="FN3" s="234"/>
      <c r="FO3" s="234"/>
      <c r="FP3" s="234"/>
      <c r="FQ3" s="234"/>
      <c r="FR3" s="234"/>
      <c r="FS3" s="234"/>
      <c r="FT3" s="234"/>
      <c r="FU3" s="234"/>
      <c r="FV3" s="234"/>
      <c r="FW3" s="234"/>
      <c r="FX3" s="234"/>
      <c r="FY3" s="234"/>
      <c r="FZ3" s="234"/>
      <c r="GA3" s="234"/>
      <c r="GB3" s="234"/>
      <c r="GC3" s="234"/>
      <c r="GD3" s="234"/>
      <c r="GE3" s="234"/>
      <c r="GF3" s="234"/>
      <c r="GG3" s="234"/>
      <c r="GH3" s="234"/>
      <c r="GI3" s="234"/>
      <c r="GJ3" s="234"/>
      <c r="GK3" s="234"/>
      <c r="GL3" s="234"/>
      <c r="GM3" s="234"/>
      <c r="GN3" s="234"/>
      <c r="GO3" s="234"/>
      <c r="GP3" s="234"/>
      <c r="GQ3" s="234"/>
      <c r="GR3" s="234"/>
      <c r="GS3" s="234"/>
      <c r="GT3" s="234"/>
      <c r="GU3" s="234"/>
      <c r="GV3" s="234"/>
      <c r="GW3" s="234"/>
      <c r="GX3" s="234"/>
      <c r="GY3" s="234"/>
      <c r="GZ3" s="234"/>
      <c r="HA3" s="234"/>
      <c r="HB3" s="234"/>
      <c r="HC3" s="234"/>
      <c r="HD3" s="234"/>
      <c r="HE3" s="234"/>
      <c r="HF3" s="234"/>
      <c r="HG3" s="234"/>
      <c r="HH3" s="234"/>
      <c r="HI3" s="234"/>
      <c r="HJ3" s="234"/>
      <c r="HK3" s="234"/>
      <c r="HL3" s="234"/>
      <c r="HM3" s="234"/>
      <c r="HN3" s="234"/>
      <c r="HO3" s="234"/>
      <c r="HP3" s="234"/>
      <c r="HQ3" s="234"/>
      <c r="HR3" s="234"/>
      <c r="HS3" s="234"/>
      <c r="HT3" s="234"/>
      <c r="HU3" s="234"/>
      <c r="HV3" s="234"/>
      <c r="HW3" s="234"/>
      <c r="HX3" s="234"/>
      <c r="HY3" s="234"/>
      <c r="HZ3" s="234"/>
      <c r="IA3" s="234"/>
      <c r="IB3" s="234"/>
      <c r="IC3" s="234"/>
      <c r="ID3" s="234"/>
      <c r="IE3" s="234"/>
      <c r="IF3" s="234"/>
      <c r="IG3" s="234"/>
      <c r="IH3" s="234"/>
      <c r="II3" s="234"/>
      <c r="IJ3" s="234"/>
      <c r="IK3" s="234"/>
      <c r="IL3" s="234"/>
      <c r="IM3" s="234"/>
      <c r="IN3" s="234"/>
      <c r="IO3" s="234"/>
      <c r="IP3" s="234"/>
      <c r="IQ3" s="234"/>
      <c r="IR3" s="234"/>
      <c r="IS3" s="234"/>
      <c r="IT3" s="234"/>
      <c r="IU3" s="234"/>
      <c r="IV3" s="234"/>
      <c r="IW3" s="518">
        <v>0</v>
      </c>
    </row>
    <row s="1826" customFormat="1" customHeight="1" ht="14.699999999999998">
      <c r="A4" s="1162"/>
      <c r="B4" s="1167"/>
      <c r="C4" s="1162"/>
      <c r="D4" s="1502"/>
      <c r="E4" s="516"/>
      <c r="F4" s="516"/>
      <c r="G4" s="516"/>
      <c r="H4" s="516"/>
      <c r="I4" s="516"/>
      <c r="J4" s="516"/>
      <c r="K4" s="516"/>
      <c r="L4" s="173"/>
      <c r="M4" s="254"/>
      <c r="N4" s="507"/>
      <c r="O4" s="507"/>
      <c r="P4" s="507"/>
      <c r="Q4" s="233"/>
      <c r="R4" s="507"/>
      <c r="S4" s="232"/>
      <c r="T4" s="232"/>
      <c r="U4" s="232"/>
      <c r="V4" s="232"/>
      <c r="IW4" s="514">
        <v>14</v>
      </c>
    </row>
    <row s="1826" customFormat="1" customHeight="1" ht="27.299999999999997">
      <c r="A5" s="1162"/>
      <c r="B5" s="1167"/>
      <c r="C5" s="1162"/>
      <c r="D5" s="1502"/>
      <c r="E5" s="2107"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7"/>
      <c r="G5" s="2107"/>
      <c r="H5" s="2107"/>
      <c r="I5" s="2107"/>
      <c r="J5" s="2107"/>
      <c r="K5" s="2107"/>
      <c r="L5" s="595"/>
      <c r="M5" s="254"/>
      <c r="N5" s="507"/>
      <c r="O5" s="507"/>
      <c r="P5" s="507"/>
      <c r="Q5" s="233"/>
      <c r="R5" s="507"/>
      <c r="S5" s="232"/>
      <c r="T5" s="232"/>
      <c r="U5" s="232"/>
      <c r="V5" s="232"/>
      <c r="IW5" s="514">
        <v>26</v>
      </c>
    </row>
    <row s="1826" customFormat="1" customHeight="1" ht="14.699999999999998">
      <c r="A6" s="1162"/>
      <c r="B6" s="1167"/>
      <c r="C6" s="1162"/>
      <c r="D6" s="1502"/>
      <c r="E6" s="516"/>
      <c r="F6" s="174"/>
      <c r="G6" s="174"/>
      <c r="H6" s="174"/>
      <c r="I6" s="174"/>
      <c r="J6" s="174"/>
      <c r="K6" s="174"/>
      <c r="L6" s="175"/>
      <c r="M6" s="507"/>
      <c r="N6" s="507"/>
      <c r="O6" s="507"/>
      <c r="P6" s="507"/>
      <c r="Q6" s="233"/>
      <c r="R6" s="507"/>
      <c r="S6" s="232"/>
      <c r="T6" s="232"/>
      <c r="U6" s="232"/>
      <c r="V6" s="232"/>
      <c r="IW6" s="514">
        <v>14</v>
      </c>
    </row>
    <row s="1826" customFormat="1" customHeight="1" ht="14.699999999999998">
      <c r="A7" s="1162"/>
      <c r="B7" s="1167"/>
      <c r="C7" s="1162"/>
      <c r="D7" s="1502"/>
      <c r="E7" s="2108" t="s">
        <v>463</v>
      </c>
      <c r="F7" s="2109"/>
      <c r="G7" s="2109"/>
      <c r="H7" s="2109"/>
      <c r="I7" s="2109"/>
      <c r="J7" s="2109"/>
      <c r="K7" s="2109"/>
      <c r="L7" s="2481" t="s">
        <v>464</v>
      </c>
      <c r="M7" s="507"/>
      <c r="N7" s="507"/>
      <c r="O7" s="507"/>
      <c r="P7" s="507"/>
      <c r="Q7" s="233"/>
      <c r="R7" s="507"/>
      <c r="S7" s="232"/>
      <c r="T7" s="232"/>
      <c r="U7" s="232"/>
      <c r="V7" s="232"/>
      <c r="IW7" s="514">
        <v>14</v>
      </c>
    </row>
    <row s="1826" customFormat="1" customHeight="1" ht="67.2">
      <c r="A8" s="1162"/>
      <c r="B8" s="1167"/>
      <c r="C8" s="1162"/>
      <c r="D8" s="1502"/>
      <c r="E8" s="2485" t="s">
        <v>88</v>
      </c>
      <c r="F8" s="2485"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7"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8"/>
      <c r="I8" s="2489"/>
      <c r="J8" s="2485"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8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83"/>
      <c r="M8" s="507"/>
      <c r="N8" s="507"/>
      <c r="O8" s="507"/>
      <c r="P8" s="507"/>
      <c r="Q8" s="233"/>
      <c r="R8" s="507"/>
      <c r="S8" s="232"/>
      <c r="T8" s="232"/>
      <c r="U8" s="232"/>
      <c r="V8" s="232"/>
      <c r="IW8" s="514">
        <v>64</v>
      </c>
    </row>
    <row s="1826" customFormat="1" customHeight="1" ht="29.25">
      <c r="A9" s="1162"/>
      <c r="B9" s="1167"/>
      <c r="C9" s="1162"/>
      <c r="D9" s="1502"/>
      <c r="E9" s="2486"/>
      <c r="F9" s="2486"/>
      <c r="G9" s="1544" t="s">
        <v>2026</v>
      </c>
      <c r="H9" s="1544" t="s">
        <v>2027</v>
      </c>
      <c r="I9" s="1544" t="s">
        <v>2028</v>
      </c>
      <c r="J9" s="2486"/>
      <c r="K9" s="2486"/>
      <c r="L9" s="2482"/>
      <c r="M9" s="507"/>
      <c r="N9" s="507"/>
      <c r="O9" s="507"/>
      <c r="P9" s="507"/>
      <c r="Q9" s="233"/>
      <c r="R9" s="507"/>
      <c r="S9" s="232"/>
      <c r="T9" s="232"/>
      <c r="U9" s="232"/>
      <c r="V9" s="232"/>
      <c r="IW9" s="514">
        <v>28</v>
      </c>
    </row>
    <row s="1857" customFormat="1" customHeight="1" ht="23.25">
      <c r="A10" s="2106"/>
      <c r="B10" s="1167">
        <v>1</v>
      </c>
      <c r="C10" s="1167"/>
      <c r="D10" s="807"/>
      <c r="E10" s="805">
        <v>1</v>
      </c>
      <c r="F10" s="1546" t="str">
        <f>IF(ROIV_INFO_NAME="","",ROIV_INFO_NAME)</f>
        <v>ГУП "Белоблводоканал"</v>
      </c>
      <c r="G10" s="1739" t="s">
        <v>28</v>
      </c>
      <c r="H10" s="1923"/>
      <c r="I10" s="1541"/>
      <c r="J10" s="825"/>
      <c r="K10" s="825"/>
      <c r="L10" s="2439"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42">
        <f>MERGEVALUE(F10)</f>
      </c>
      <c r="N10" s="518"/>
      <c r="O10" s="518"/>
      <c r="P10" s="507" t="str">
        <f t="array" ref="P10:P10">IF(ISERROR(MATCH(MID(Q10,1,250),MID(note_ter,1,250),0)),"n","y")</f>
        <v>n</v>
      </c>
      <c r="Q10" s="518"/>
      <c r="R10" s="507"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7"/>
      <c r="T10" s="1167"/>
      <c r="U10" s="427"/>
      <c r="V10" s="1167"/>
      <c r="W10" s="1167"/>
      <c r="X10" s="1167"/>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c r="IW10" s="430">
        <v>22</v>
      </c>
    </row>
    <row s="1857" customFormat="1" customHeight="1" ht="15.75">
      <c r="A11" s="2106"/>
      <c r="B11" s="1167"/>
      <c r="C11" s="419"/>
      <c r="D11" s="808"/>
      <c r="E11" s="428"/>
      <c r="F11" s="423" t="s">
        <v>2029</v>
      </c>
      <c r="G11" s="194"/>
      <c r="H11" s="194"/>
      <c r="I11" s="194"/>
      <c r="J11" s="194"/>
      <c r="K11" s="431"/>
      <c r="L11" s="2484"/>
      <c r="M11" s="1543"/>
      <c r="N11" s="518"/>
      <c r="O11" s="518"/>
      <c r="P11" s="518"/>
      <c r="Q11" s="507"/>
      <c r="R11" s="518"/>
      <c r="S11" s="1167"/>
      <c r="T11" s="1167"/>
      <c r="U11" s="427"/>
      <c r="V11" s="1167"/>
      <c r="W11" s="1167"/>
      <c r="X11" s="1167"/>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c r="IW11" s="430">
        <v>15</v>
      </c>
    </row>
    <row s="1826" customFormat="1" customHeight="1" ht="22.049999999999997">
      <c r="A12" s="1162"/>
      <c r="B12" s="1167"/>
      <c r="C12" s="1162"/>
      <c r="D12" s="458"/>
      <c r="E12" s="187"/>
      <c r="F12" s="187"/>
      <c r="G12" s="187"/>
      <c r="H12" s="187"/>
      <c r="I12" s="187"/>
      <c r="J12" s="187"/>
      <c r="K12" s="187"/>
      <c r="L12" s="187"/>
      <c r="M12" s="507"/>
      <c r="N12" s="507"/>
      <c r="O12" s="507"/>
      <c r="P12" s="507"/>
      <c r="Q12" s="233"/>
      <c r="R12" s="507"/>
      <c r="S12" s="232"/>
      <c r="T12" s="232"/>
      <c r="U12" s="232"/>
      <c r="V12" s="232"/>
      <c r="IW12" s="514">
        <v>21</v>
      </c>
    </row>
    <row s="1826" customFormat="1" customHeight="1" ht="14.699999999999998">
      <c r="A13" s="1162"/>
      <c r="B13" s="1167"/>
      <c r="C13" s="1162"/>
      <c r="D13" s="458"/>
      <c r="E13" s="1162"/>
      <c r="F13" s="1162"/>
      <c r="G13" s="1162"/>
      <c r="H13" s="1162"/>
      <c r="I13" s="1162"/>
      <c r="J13" s="1162"/>
      <c r="K13" s="1162"/>
      <c r="L13" s="1162"/>
      <c r="M13" s="507"/>
      <c r="N13" s="507"/>
      <c r="O13" s="507"/>
      <c r="P13" s="507"/>
      <c r="Q13" s="233"/>
      <c r="R13" s="507"/>
      <c r="S13" s="232"/>
      <c r="T13" s="232"/>
      <c r="U13" s="232"/>
      <c r="V13" s="232"/>
      <c r="IW13" s="514">
        <v>14</v>
      </c>
    </row>
    <row s="1826" customFormat="1" customHeight="1" ht="1.05">
      <c r="A14" s="1162"/>
      <c r="B14" s="1167"/>
      <c r="C14" s="1162"/>
      <c r="D14" s="458"/>
      <c r="E14" s="1162"/>
      <c r="F14" s="1162"/>
      <c r="G14" s="1162"/>
      <c r="H14" s="1162"/>
      <c r="I14" s="1162"/>
      <c r="J14" s="1162"/>
      <c r="K14" s="1162"/>
      <c r="L14" s="1162"/>
      <c r="M14" s="507"/>
      <c r="N14" s="507"/>
      <c r="O14" s="507"/>
      <c r="P14" s="507"/>
      <c r="Q14" s="233"/>
      <c r="R14" s="507"/>
      <c r="S14" s="232"/>
      <c r="T14" s="232"/>
      <c r="U14" s="232"/>
      <c r="V14" s="232"/>
      <c r="IW14" s="514">
        <v>1</v>
      </c>
    </row>
    <row customHeight="1" ht="22.5" hidden="1">
      <c r="A15" s="1162" t="s">
        <v>82</v>
      </c>
      <c r="B15" s="1167">
        <v>0</v>
      </c>
      <c r="C15" s="1162">
        <v>0</v>
      </c>
      <c r="D15" s="458">
        <v>3</v>
      </c>
      <c r="E15" s="1162">
        <v>6</v>
      </c>
      <c r="F15" s="1162">
        <v>27</v>
      </c>
      <c r="G15" s="1162">
        <v>16</v>
      </c>
      <c r="H15" s="1162">
        <v>12</v>
      </c>
      <c r="I15" s="1162">
        <v>32</v>
      </c>
      <c r="J15" s="1162">
        <v>41</v>
      </c>
      <c r="K15" s="1162">
        <v>41</v>
      </c>
      <c r="L15" s="1162">
        <v>89</v>
      </c>
      <c r="M15" s="507">
        <v>3</v>
      </c>
      <c r="N15" s="507">
        <v>8</v>
      </c>
      <c r="O15" s="507">
        <v>8</v>
      </c>
      <c r="P15" s="507">
        <v>8</v>
      </c>
      <c r="Q15" s="233">
        <v>25</v>
      </c>
      <c r="R15" s="507">
        <v>14</v>
      </c>
      <c r="S15" s="232">
        <v>8</v>
      </c>
      <c r="T15" s="232">
        <v>8</v>
      </c>
      <c r="U15" s="232">
        <v>8</v>
      </c>
      <c r="V15" s="232">
        <v>8</v>
      </c>
      <c r="W15" s="1162">
        <v>8</v>
      </c>
      <c r="X15" s="1162">
        <v>8</v>
      </c>
      <c r="Y15" s="1162">
        <v>8</v>
      </c>
      <c r="Z15" s="1162">
        <v>8</v>
      </c>
      <c r="AA15" s="1162">
        <v>8</v>
      </c>
      <c r="AB15" s="1162">
        <v>8</v>
      </c>
      <c r="AC15" s="1162">
        <v>8</v>
      </c>
      <c r="AD15" s="1162">
        <v>8</v>
      </c>
      <c r="AE15" s="1162">
        <v>8</v>
      </c>
      <c r="AF15" s="1162">
        <v>8</v>
      </c>
      <c r="AG15" s="1162">
        <v>8</v>
      </c>
      <c r="AH15" s="1162">
        <v>8</v>
      </c>
      <c r="AI15" s="1162">
        <v>8</v>
      </c>
      <c r="AJ15" s="1162">
        <v>8</v>
      </c>
      <c r="AK15" s="1162">
        <v>8</v>
      </c>
      <c r="AL15" s="1162">
        <v>8</v>
      </c>
      <c r="AM15" s="1162">
        <v>8</v>
      </c>
      <c r="AN15" s="1162">
        <v>8</v>
      </c>
      <c r="AO15" s="1162">
        <v>8</v>
      </c>
      <c r="AP15" s="1162">
        <v>8</v>
      </c>
      <c r="AQ15" s="1162">
        <v>8</v>
      </c>
      <c r="AR15" s="1162">
        <v>8</v>
      </c>
      <c r="AS15" s="1162">
        <v>8</v>
      </c>
      <c r="AT15" s="1162">
        <v>8</v>
      </c>
      <c r="AU15" s="1162">
        <v>8</v>
      </c>
      <c r="AV15" s="1162">
        <v>8</v>
      </c>
      <c r="AW15" s="1162">
        <v>8</v>
      </c>
      <c r="AX15" s="1162">
        <v>8</v>
      </c>
      <c r="AY15" s="1162">
        <v>8</v>
      </c>
      <c r="AZ15" s="1162">
        <v>8</v>
      </c>
      <c r="BA15" s="1162">
        <v>8</v>
      </c>
      <c r="BB15" s="1162">
        <v>8</v>
      </c>
      <c r="BC15" s="1162">
        <v>8</v>
      </c>
      <c r="BD15" s="1162">
        <v>8</v>
      </c>
      <c r="BE15" s="1162">
        <v>8</v>
      </c>
      <c r="BF15" s="1162">
        <v>8</v>
      </c>
      <c r="BG15" s="1162">
        <v>8</v>
      </c>
      <c r="BH15" s="1162">
        <v>8</v>
      </c>
      <c r="BI15" s="1162">
        <v>8</v>
      </c>
      <c r="BJ15" s="1162">
        <v>8</v>
      </c>
      <c r="BK15" s="1162">
        <v>8</v>
      </c>
      <c r="BL15" s="1162">
        <v>8</v>
      </c>
      <c r="BM15" s="1162">
        <v>8</v>
      </c>
      <c r="BN15" s="1162">
        <v>8</v>
      </c>
      <c r="BO15" s="1162">
        <v>8</v>
      </c>
      <c r="BP15" s="1162">
        <v>8</v>
      </c>
      <c r="BQ15" s="1162">
        <v>8</v>
      </c>
      <c r="BR15" s="1162">
        <v>8</v>
      </c>
      <c r="BS15" s="1162">
        <v>8</v>
      </c>
      <c r="BT15" s="1162">
        <v>8</v>
      </c>
      <c r="BU15" s="1162">
        <v>8</v>
      </c>
      <c r="BV15" s="1162">
        <v>8</v>
      </c>
      <c r="BW15" s="1162">
        <v>8</v>
      </c>
      <c r="BX15" s="1162">
        <v>8</v>
      </c>
      <c r="BY15" s="1162">
        <v>8</v>
      </c>
      <c r="BZ15" s="1162">
        <v>8</v>
      </c>
      <c r="CA15" s="1162">
        <v>8</v>
      </c>
      <c r="CB15" s="1162">
        <v>8</v>
      </c>
      <c r="CC15" s="1162">
        <v>8</v>
      </c>
      <c r="CD15" s="1162">
        <v>8</v>
      </c>
      <c r="CE15" s="1162">
        <v>8</v>
      </c>
      <c r="CF15" s="1162">
        <v>8</v>
      </c>
      <c r="CG15" s="1162">
        <v>8</v>
      </c>
      <c r="CH15" s="1162">
        <v>8</v>
      </c>
      <c r="CI15" s="1162">
        <v>8</v>
      </c>
      <c r="CJ15" s="1162">
        <v>8</v>
      </c>
      <c r="CK15" s="1162">
        <v>8</v>
      </c>
      <c r="CL15" s="1162">
        <v>8</v>
      </c>
      <c r="CM15" s="1162">
        <v>8</v>
      </c>
      <c r="CN15" s="1162">
        <v>8</v>
      </c>
      <c r="CO15" s="1162">
        <v>8</v>
      </c>
      <c r="CP15" s="1162">
        <v>8</v>
      </c>
      <c r="CQ15" s="1162">
        <v>8</v>
      </c>
      <c r="CR15" s="1162">
        <v>8</v>
      </c>
      <c r="CS15" s="1162">
        <v>8</v>
      </c>
      <c r="CT15" s="1162">
        <v>8</v>
      </c>
      <c r="CU15" s="1162">
        <v>8</v>
      </c>
      <c r="CV15" s="1162">
        <v>8</v>
      </c>
      <c r="CW15" s="1162">
        <v>8</v>
      </c>
      <c r="CX15" s="1162">
        <v>8</v>
      </c>
      <c r="CY15" s="1162">
        <v>8</v>
      </c>
      <c r="CZ15" s="1162">
        <v>8</v>
      </c>
      <c r="DA15" s="1162">
        <v>8</v>
      </c>
      <c r="DB15" s="1162">
        <v>8</v>
      </c>
      <c r="DC15" s="1162">
        <v>8</v>
      </c>
      <c r="DD15" s="1162">
        <v>8</v>
      </c>
      <c r="DE15" s="1162">
        <v>8</v>
      </c>
      <c r="DF15" s="1162">
        <v>8</v>
      </c>
      <c r="DG15" s="1162">
        <v>8</v>
      </c>
      <c r="DH15" s="1162">
        <v>8</v>
      </c>
      <c r="DI15" s="1162">
        <v>8</v>
      </c>
      <c r="DJ15" s="1162">
        <v>8</v>
      </c>
      <c r="DK15" s="1162">
        <v>8</v>
      </c>
      <c r="DL15" s="1162">
        <v>8</v>
      </c>
      <c r="DM15" s="1162">
        <v>8</v>
      </c>
      <c r="DN15" s="1162">
        <v>8</v>
      </c>
      <c r="DO15" s="1162">
        <v>8</v>
      </c>
      <c r="DP15" s="1162">
        <v>8</v>
      </c>
      <c r="DQ15" s="1162">
        <v>8</v>
      </c>
      <c r="DR15" s="1162">
        <v>8</v>
      </c>
      <c r="DS15" s="1162">
        <v>8</v>
      </c>
      <c r="DT15" s="1162">
        <v>8</v>
      </c>
      <c r="DU15" s="1162">
        <v>8</v>
      </c>
      <c r="DV15" s="1162">
        <v>8</v>
      </c>
      <c r="DW15" s="1162">
        <v>8</v>
      </c>
      <c r="DX15" s="1162">
        <v>8</v>
      </c>
      <c r="DY15" s="1162">
        <v>8</v>
      </c>
      <c r="DZ15" s="1162">
        <v>8</v>
      </c>
      <c r="EA15" s="1162">
        <v>8</v>
      </c>
      <c r="EB15" s="1162">
        <v>8</v>
      </c>
      <c r="EC15" s="1162">
        <v>8</v>
      </c>
      <c r="ED15" s="1162">
        <v>8</v>
      </c>
      <c r="EE15" s="1162">
        <v>8</v>
      </c>
      <c r="EF15" s="1162">
        <v>8</v>
      </c>
      <c r="EG15" s="1162">
        <v>8</v>
      </c>
      <c r="EH15" s="1162">
        <v>8</v>
      </c>
      <c r="EI15" s="1162">
        <v>8</v>
      </c>
      <c r="EJ15" s="1162">
        <v>8</v>
      </c>
      <c r="EK15" s="1162">
        <v>8</v>
      </c>
      <c r="EL15" s="1162">
        <v>8</v>
      </c>
      <c r="EM15" s="1162">
        <v>8</v>
      </c>
      <c r="EN15" s="1162">
        <v>8</v>
      </c>
      <c r="EO15" s="1162">
        <v>8</v>
      </c>
      <c r="EP15" s="1162">
        <v>8</v>
      </c>
      <c r="EQ15" s="1162">
        <v>8</v>
      </c>
      <c r="ER15" s="1162">
        <v>8</v>
      </c>
      <c r="ES15" s="1162">
        <v>8</v>
      </c>
      <c r="ET15" s="1162">
        <v>8</v>
      </c>
      <c r="EU15" s="1162">
        <v>8</v>
      </c>
      <c r="EV15" s="1162">
        <v>8</v>
      </c>
      <c r="EW15" s="1162">
        <v>8</v>
      </c>
      <c r="EX15" s="1162">
        <v>8</v>
      </c>
      <c r="EY15" s="1162">
        <v>8</v>
      </c>
      <c r="EZ15" s="1162">
        <v>8</v>
      </c>
      <c r="FA15" s="1162">
        <v>8</v>
      </c>
      <c r="FB15" s="1162">
        <v>8</v>
      </c>
      <c r="FC15" s="1162">
        <v>8</v>
      </c>
      <c r="FD15" s="1162">
        <v>8</v>
      </c>
      <c r="FE15" s="1162">
        <v>8</v>
      </c>
      <c r="FF15" s="1162">
        <v>8</v>
      </c>
      <c r="FG15" s="1162">
        <v>8</v>
      </c>
      <c r="FH15" s="1162">
        <v>8</v>
      </c>
      <c r="FI15" s="1162">
        <v>8</v>
      </c>
      <c r="FJ15" s="1162">
        <v>8</v>
      </c>
      <c r="FK15" s="1162">
        <v>8</v>
      </c>
      <c r="FL15" s="1162">
        <v>8</v>
      </c>
      <c r="FM15" s="1162">
        <v>8</v>
      </c>
      <c r="FN15" s="1162">
        <v>8</v>
      </c>
      <c r="FO15" s="1162">
        <v>8</v>
      </c>
      <c r="FP15" s="1162">
        <v>8</v>
      </c>
      <c r="FQ15" s="1162">
        <v>8</v>
      </c>
      <c r="FR15" s="1162">
        <v>8</v>
      </c>
      <c r="FS15" s="1162">
        <v>8</v>
      </c>
      <c r="FT15" s="1162">
        <v>8</v>
      </c>
      <c r="FU15" s="1162">
        <v>8</v>
      </c>
      <c r="FV15" s="1162">
        <v>8</v>
      </c>
      <c r="FW15" s="1162">
        <v>8</v>
      </c>
      <c r="FX15" s="1162">
        <v>8</v>
      </c>
      <c r="FY15" s="1162">
        <v>8</v>
      </c>
      <c r="FZ15" s="1162">
        <v>8</v>
      </c>
      <c r="GA15" s="1162">
        <v>8</v>
      </c>
      <c r="GB15" s="1162">
        <v>8</v>
      </c>
      <c r="GC15" s="1162">
        <v>8</v>
      </c>
      <c r="GD15" s="1162">
        <v>8</v>
      </c>
      <c r="GE15" s="1162">
        <v>8</v>
      </c>
      <c r="GF15" s="1162">
        <v>8</v>
      </c>
      <c r="GG15" s="1162">
        <v>8</v>
      </c>
      <c r="GH15" s="1162">
        <v>8</v>
      </c>
      <c r="GI15" s="1162">
        <v>8</v>
      </c>
      <c r="GJ15" s="1162">
        <v>8</v>
      </c>
      <c r="GK15" s="1162">
        <v>8</v>
      </c>
      <c r="GL15" s="1162">
        <v>8</v>
      </c>
      <c r="GM15" s="1162">
        <v>8</v>
      </c>
      <c r="GN15" s="1162">
        <v>8</v>
      </c>
      <c r="GO15" s="1162">
        <v>8</v>
      </c>
      <c r="GP15" s="1162">
        <v>8</v>
      </c>
      <c r="GQ15" s="1162">
        <v>8</v>
      </c>
      <c r="GR15" s="1162">
        <v>8</v>
      </c>
      <c r="GS15" s="1162">
        <v>8</v>
      </c>
      <c r="GT15" s="1162">
        <v>8</v>
      </c>
      <c r="GU15" s="1162">
        <v>8</v>
      </c>
      <c r="GV15" s="1162">
        <v>8</v>
      </c>
      <c r="GW15" s="1162">
        <v>8</v>
      </c>
      <c r="GX15" s="1162">
        <v>8</v>
      </c>
      <c r="GY15" s="1162">
        <v>8</v>
      </c>
      <c r="GZ15" s="1162">
        <v>8</v>
      </c>
      <c r="HA15" s="1162">
        <v>8</v>
      </c>
      <c r="HB15" s="1162">
        <v>8</v>
      </c>
      <c r="HC15" s="1162">
        <v>8</v>
      </c>
      <c r="HD15" s="1162">
        <v>8</v>
      </c>
      <c r="HE15" s="1162">
        <v>8</v>
      </c>
      <c r="HF15" s="1162">
        <v>8</v>
      </c>
      <c r="HG15" s="1162">
        <v>8</v>
      </c>
      <c r="HH15" s="1162">
        <v>8</v>
      </c>
      <c r="HI15" s="1162">
        <v>8</v>
      </c>
      <c r="HJ15" s="1162">
        <v>8</v>
      </c>
      <c r="HK15" s="1162">
        <v>8</v>
      </c>
      <c r="HL15" s="1162">
        <v>8</v>
      </c>
      <c r="HM15" s="1162">
        <v>8</v>
      </c>
      <c r="HN15" s="1162">
        <v>8</v>
      </c>
      <c r="HO15" s="1162">
        <v>8</v>
      </c>
      <c r="HP15" s="1162">
        <v>8</v>
      </c>
      <c r="HQ15" s="1162">
        <v>8</v>
      </c>
      <c r="HR15" s="1162">
        <v>8</v>
      </c>
      <c r="HS15" s="1162">
        <v>8</v>
      </c>
      <c r="HT15" s="1162">
        <v>8</v>
      </c>
      <c r="HU15" s="1162">
        <v>8</v>
      </c>
      <c r="HV15" s="1162">
        <v>8</v>
      </c>
      <c r="HW15" s="1162">
        <v>8</v>
      </c>
      <c r="HX15" s="1162">
        <v>8</v>
      </c>
      <c r="HY15" s="1162">
        <v>8</v>
      </c>
      <c r="HZ15" s="1162">
        <v>8</v>
      </c>
      <c r="IA15" s="1162">
        <v>8</v>
      </c>
      <c r="IB15" s="1162">
        <v>8</v>
      </c>
      <c r="IC15" s="1162">
        <v>8</v>
      </c>
      <c r="ID15" s="1162">
        <v>8</v>
      </c>
      <c r="IE15" s="1162">
        <v>8</v>
      </c>
      <c r="IF15" s="1162">
        <v>8</v>
      </c>
      <c r="IG15" s="1162">
        <v>8</v>
      </c>
      <c r="IH15" s="1162">
        <v>8</v>
      </c>
      <c r="II15" s="1162">
        <v>8</v>
      </c>
      <c r="IJ15" s="1162">
        <v>8</v>
      </c>
      <c r="IK15" s="1162">
        <v>8</v>
      </c>
      <c r="IL15" s="1162">
        <v>8</v>
      </c>
      <c r="IM15" s="1162">
        <v>8</v>
      </c>
      <c r="IN15" s="1162">
        <v>8</v>
      </c>
      <c r="IO15" s="1162">
        <v>8</v>
      </c>
      <c r="IP15" s="1162">
        <v>8</v>
      </c>
      <c r="IQ15" s="1162">
        <v>8</v>
      </c>
      <c r="IR15" s="1162">
        <v>8</v>
      </c>
      <c r="IS15" s="1162">
        <v>8</v>
      </c>
      <c r="IT15" s="1162">
        <v>8</v>
      </c>
      <c r="IU15" s="1162">
        <v>8</v>
      </c>
      <c r="IV15" s="1162">
        <v>8</v>
      </c>
      <c r="IW15" s="1162">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A68BCF-1E86-C46A-D502-8347026AC3F9}"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42" width="9.140625" hidden="1"/>
    <col min="2" max="2" style="1373" width="9.140625" hidden="1"/>
    <col min="3" max="3" style="1642" width="3.7109375" hidden="1" customWidth="1"/>
    <col min="4" max="4" style="1849" width="3.00390625" customWidth="1"/>
    <col min="5" max="5" style="1642" width="6.00390625" customWidth="1"/>
    <col min="6" max="6" style="1642" width="27.00390625" customWidth="1"/>
    <col min="7" max="7" style="1642" width="16.00390625" customWidth="1"/>
    <col min="8" max="8" style="1642" width="12.00390625" customWidth="1"/>
    <col min="9" max="9" style="1642" width="32.00390625" customWidth="1"/>
    <col min="10" max="11" style="1642" width="41.00390625" customWidth="1"/>
    <col min="12" max="12" style="1642" width="89.00390625" customWidth="1"/>
    <col min="13" max="13" style="1631" width="3.00390625" customWidth="1"/>
    <col min="14" max="16" style="1631" width="8.00390625" customWidth="1"/>
    <col min="17" max="17" style="1631" width="25.00390625" customWidth="1"/>
    <col min="18" max="18" style="1631" width="14.00390625" customWidth="1"/>
    <col min="19" max="22" style="232" width="8.00390625" customWidth="1"/>
    <col min="23" max="256" style="1642" width="8.00390625" customWidth="1"/>
    <col min="257" max="257" style="1642" width="9.140625" hidden="1"/>
  </cols>
  <sheetData>
    <row customHeight="1" ht="22.5" hidden="1">
      <c r="IW1" s="1638" t="s">
        <v>14</v>
      </c>
    </row>
    <row s="1857" customFormat="1" customHeight="1" ht="22.5" hidden="1">
      <c r="A2" s="838"/>
      <c r="B2" s="1373">
        <v>1</v>
      </c>
      <c r="C2" s="1373"/>
      <c r="D2" s="1935" t="s">
        <v>102</v>
      </c>
      <c r="E2" s="1911"/>
      <c r="F2" s="1913" t="str">
        <f>IF(ROIV_INFO_NAME="","",ROIV_INFO_NAME)</f>
        <v>ГУП "Белоблводоканал"</v>
      </c>
      <c r="G2" s="1739" t="s">
        <v>28</v>
      </c>
      <c r="H2" s="1923"/>
      <c r="I2" s="1545"/>
      <c r="J2" s="825"/>
      <c r="K2" s="825"/>
      <c r="L2" s="235"/>
      <c r="M2" s="1542">
        <f>MERGEVALUE(F2)</f>
      </c>
      <c r="N2" s="1643"/>
      <c r="O2" s="1643"/>
      <c r="P2" s="1631" t="str">
        <f t="array" ref="P2:P2">IF(ISERROR(MATCH(MID(Q2,1,250),MID(note_ter,1,250),0)),"n","y")</f>
        <v>n</v>
      </c>
      <c r="Q2" s="1643"/>
      <c r="R2" s="1631" t="str">
        <f>G2&amp;"("&amp;L2&amp;")"</f>
        <v>()</v>
      </c>
      <c r="S2" s="1373"/>
      <c r="T2" s="1373"/>
      <c r="U2" s="427"/>
      <c r="V2" s="1373"/>
      <c r="W2" s="1373"/>
      <c r="X2" s="1373"/>
      <c r="Y2" s="840"/>
      <c r="Z2" s="840"/>
      <c r="AA2" s="634"/>
      <c r="AB2" s="634"/>
      <c r="AC2" s="634"/>
      <c r="AD2" s="634"/>
      <c r="AE2" s="634"/>
      <c r="AF2" s="634"/>
      <c r="AG2" s="634"/>
      <c r="AH2" s="634"/>
      <c r="AI2" s="634"/>
      <c r="AJ2" s="634"/>
      <c r="AK2" s="634"/>
      <c r="AL2" s="634"/>
      <c r="AM2" s="634"/>
      <c r="AN2" s="634"/>
      <c r="AO2" s="634"/>
      <c r="AP2" s="634"/>
      <c r="AQ2" s="634"/>
      <c r="AR2" s="634"/>
      <c r="AS2" s="634"/>
      <c r="AT2" s="634"/>
      <c r="AU2" s="634"/>
      <c r="AV2" s="634"/>
      <c r="AW2" s="634"/>
      <c r="AX2" s="634"/>
      <c r="AY2" s="634"/>
      <c r="AZ2" s="634"/>
      <c r="BA2" s="634"/>
      <c r="BB2" s="634"/>
      <c r="BC2" s="634"/>
      <c r="BD2" s="634"/>
      <c r="BE2" s="634"/>
      <c r="BF2" s="634"/>
      <c r="BG2" s="634"/>
      <c r="BH2" s="634"/>
      <c r="BI2" s="634"/>
      <c r="BJ2" s="634"/>
      <c r="BK2" s="634"/>
      <c r="BL2" s="634"/>
      <c r="BM2" s="634"/>
      <c r="BN2" s="634"/>
      <c r="BO2" s="634"/>
      <c r="BP2" s="634"/>
      <c r="BQ2" s="634"/>
      <c r="BR2" s="634"/>
      <c r="BS2" s="634"/>
      <c r="BT2" s="634"/>
      <c r="BU2" s="634"/>
      <c r="BV2" s="840"/>
      <c r="BW2" s="840"/>
      <c r="BX2" s="840"/>
      <c r="BY2" s="840"/>
      <c r="BZ2" s="840"/>
      <c r="CA2" s="840"/>
      <c r="CB2" s="840"/>
      <c r="CC2" s="840"/>
      <c r="CD2" s="840"/>
      <c r="CE2" s="840"/>
      <c r="IW2" s="631">
        <v>0</v>
      </c>
    </row>
    <row s="1649" customFormat="1" customHeight="1" ht="5.25" hidden="1">
      <c r="A3" s="1648"/>
      <c r="D3" s="1900"/>
      <c r="F3" s="255" t="s">
        <v>83</v>
      </c>
      <c r="G3" s="1742" t="s">
        <v>84</v>
      </c>
      <c r="H3" s="1900"/>
      <c r="I3" s="1900"/>
      <c r="J3" s="1900"/>
      <c r="K3" s="1900"/>
      <c r="L3" s="234" t="s">
        <v>85</v>
      </c>
      <c r="M3" s="255" t="s">
        <v>83</v>
      </c>
      <c r="N3" s="255"/>
      <c r="O3" s="255"/>
      <c r="P3" s="255"/>
      <c r="Q3" s="255"/>
      <c r="R3" s="255"/>
      <c r="S3" s="255"/>
      <c r="T3" s="255"/>
      <c r="U3" s="255"/>
      <c r="V3" s="255"/>
      <c r="W3" s="234"/>
      <c r="X3" s="234"/>
      <c r="Y3" s="234"/>
      <c r="Z3" s="234"/>
      <c r="AA3" s="234"/>
      <c r="AB3" s="234"/>
      <c r="AC3" s="234"/>
      <c r="AD3" s="234"/>
      <c r="AE3" s="234"/>
      <c r="AF3" s="234"/>
      <c r="AG3" s="234"/>
      <c r="AH3" s="234"/>
      <c r="AI3" s="234"/>
      <c r="AJ3" s="234"/>
      <c r="AK3" s="234"/>
      <c r="AL3" s="234"/>
      <c r="AM3" s="234"/>
      <c r="AN3" s="234"/>
      <c r="AO3" s="234"/>
      <c r="AP3" s="234"/>
      <c r="AQ3" s="234"/>
      <c r="AR3" s="234"/>
      <c r="AS3" s="234"/>
      <c r="AT3" s="234"/>
      <c r="AU3" s="234"/>
      <c r="AV3" s="234"/>
      <c r="AW3" s="234"/>
      <c r="AX3" s="234"/>
      <c r="AY3" s="234"/>
      <c r="AZ3" s="234"/>
      <c r="BA3" s="234"/>
      <c r="BB3" s="234"/>
      <c r="BC3" s="234"/>
      <c r="BD3" s="234"/>
      <c r="BE3" s="234"/>
      <c r="BF3" s="234"/>
      <c r="BG3" s="234"/>
      <c r="BH3" s="234"/>
      <c r="BI3" s="234"/>
      <c r="BJ3" s="234"/>
      <c r="BK3" s="234"/>
      <c r="BL3" s="234"/>
      <c r="BM3" s="234"/>
      <c r="BN3" s="234"/>
      <c r="BO3" s="234"/>
      <c r="BP3" s="234"/>
      <c r="BQ3" s="234"/>
      <c r="BR3" s="234"/>
      <c r="BS3" s="234"/>
      <c r="BT3" s="234"/>
      <c r="BU3" s="234"/>
      <c r="BV3" s="234"/>
      <c r="BW3" s="234"/>
      <c r="BX3" s="234"/>
      <c r="BY3" s="234"/>
      <c r="BZ3" s="234"/>
      <c r="CA3" s="234"/>
      <c r="CB3" s="234"/>
      <c r="CC3" s="234"/>
      <c r="CD3" s="234"/>
      <c r="CE3" s="234"/>
      <c r="CF3" s="234"/>
      <c r="CG3" s="234"/>
      <c r="CH3" s="234"/>
      <c r="CI3" s="234"/>
      <c r="CJ3" s="234"/>
      <c r="CK3" s="234"/>
      <c r="CL3" s="234"/>
      <c r="CM3" s="234"/>
      <c r="CN3" s="234"/>
      <c r="CO3" s="234"/>
      <c r="CP3" s="234"/>
      <c r="CQ3" s="234"/>
      <c r="CR3" s="234"/>
      <c r="CS3" s="234"/>
      <c r="CT3" s="234"/>
      <c r="CU3" s="234"/>
      <c r="CV3" s="234"/>
      <c r="CW3" s="234"/>
      <c r="CX3" s="234"/>
      <c r="CY3" s="234"/>
      <c r="CZ3" s="234"/>
      <c r="DA3" s="234"/>
      <c r="DB3" s="234"/>
      <c r="DC3" s="234"/>
      <c r="DD3" s="234"/>
      <c r="DE3" s="234"/>
      <c r="DF3" s="234"/>
      <c r="DG3" s="234"/>
      <c r="DH3" s="234"/>
      <c r="DI3" s="234"/>
      <c r="DJ3" s="234"/>
      <c r="DK3" s="234"/>
      <c r="DL3" s="234"/>
      <c r="DM3" s="234"/>
      <c r="DN3" s="234"/>
      <c r="DO3" s="234"/>
      <c r="DP3" s="234"/>
      <c r="DQ3" s="234"/>
      <c r="DR3" s="234"/>
      <c r="DS3" s="234"/>
      <c r="DT3" s="234"/>
      <c r="DU3" s="234"/>
      <c r="DV3" s="234"/>
      <c r="DW3" s="234"/>
      <c r="DX3" s="234"/>
      <c r="DY3" s="234"/>
      <c r="DZ3" s="234"/>
      <c r="EA3" s="234"/>
      <c r="EB3" s="234"/>
      <c r="EC3" s="234"/>
      <c r="ED3" s="234"/>
      <c r="EE3" s="234"/>
      <c r="EF3" s="234"/>
      <c r="EG3" s="234"/>
      <c r="EH3" s="234"/>
      <c r="EI3" s="234"/>
      <c r="EJ3" s="234"/>
      <c r="EK3" s="234"/>
      <c r="EL3" s="234"/>
      <c r="EM3" s="234"/>
      <c r="EN3" s="234"/>
      <c r="EO3" s="234"/>
      <c r="EP3" s="234"/>
      <c r="EQ3" s="234"/>
      <c r="ER3" s="234"/>
      <c r="ES3" s="234"/>
      <c r="ET3" s="234"/>
      <c r="EU3" s="234"/>
      <c r="EV3" s="234"/>
      <c r="EW3" s="234"/>
      <c r="EX3" s="234"/>
      <c r="EY3" s="234"/>
      <c r="EZ3" s="234"/>
      <c r="FA3" s="234"/>
      <c r="FB3" s="234"/>
      <c r="FC3" s="234"/>
      <c r="FD3" s="234"/>
      <c r="FE3" s="234"/>
      <c r="FF3" s="234"/>
      <c r="FG3" s="234"/>
      <c r="FH3" s="234"/>
      <c r="FI3" s="234"/>
      <c r="FJ3" s="234"/>
      <c r="FK3" s="234"/>
      <c r="FL3" s="234"/>
      <c r="FM3" s="234"/>
      <c r="FN3" s="234"/>
      <c r="FO3" s="234"/>
      <c r="FP3" s="234"/>
      <c r="FQ3" s="234"/>
      <c r="FR3" s="234"/>
      <c r="FS3" s="234"/>
      <c r="FT3" s="234"/>
      <c r="FU3" s="234"/>
      <c r="FV3" s="234"/>
      <c r="FW3" s="234"/>
      <c r="FX3" s="234"/>
      <c r="FY3" s="234"/>
      <c r="FZ3" s="234"/>
      <c r="GA3" s="234"/>
      <c r="GB3" s="234"/>
      <c r="GC3" s="234"/>
      <c r="GD3" s="234"/>
      <c r="GE3" s="234"/>
      <c r="GF3" s="234"/>
      <c r="GG3" s="234"/>
      <c r="GH3" s="234"/>
      <c r="GI3" s="234"/>
      <c r="GJ3" s="234"/>
      <c r="GK3" s="234"/>
      <c r="GL3" s="234"/>
      <c r="GM3" s="234"/>
      <c r="GN3" s="234"/>
      <c r="GO3" s="234"/>
      <c r="GP3" s="234"/>
      <c r="GQ3" s="234"/>
      <c r="GR3" s="234"/>
      <c r="GS3" s="234"/>
      <c r="GT3" s="234"/>
      <c r="GU3" s="234"/>
      <c r="GV3" s="234"/>
      <c r="GW3" s="234"/>
      <c r="GX3" s="234"/>
      <c r="GY3" s="234"/>
      <c r="GZ3" s="234"/>
      <c r="HA3" s="234"/>
      <c r="HB3" s="234"/>
      <c r="HC3" s="234"/>
      <c r="HD3" s="234"/>
      <c r="HE3" s="234"/>
      <c r="HF3" s="234"/>
      <c r="HG3" s="234"/>
      <c r="HH3" s="234"/>
      <c r="HI3" s="234"/>
      <c r="HJ3" s="234"/>
      <c r="HK3" s="234"/>
      <c r="HL3" s="234"/>
      <c r="HM3" s="234"/>
      <c r="HN3" s="234"/>
      <c r="HO3" s="234"/>
      <c r="HP3" s="234"/>
      <c r="HQ3" s="234"/>
      <c r="HR3" s="234"/>
      <c r="HS3" s="234"/>
      <c r="HT3" s="234"/>
      <c r="HU3" s="234"/>
      <c r="HV3" s="234"/>
      <c r="HW3" s="234"/>
      <c r="HX3" s="234"/>
      <c r="HY3" s="234"/>
      <c r="HZ3" s="234"/>
      <c r="IA3" s="234"/>
      <c r="IB3" s="234"/>
      <c r="IC3" s="234"/>
      <c r="ID3" s="234"/>
      <c r="IE3" s="234"/>
      <c r="IF3" s="234"/>
      <c r="IG3" s="234"/>
      <c r="IH3" s="234"/>
      <c r="II3" s="234"/>
      <c r="IJ3" s="234"/>
      <c r="IK3" s="234"/>
      <c r="IL3" s="234"/>
      <c r="IM3" s="234"/>
      <c r="IN3" s="234"/>
      <c r="IO3" s="234"/>
      <c r="IP3" s="234"/>
      <c r="IQ3" s="234"/>
      <c r="IR3" s="234"/>
      <c r="IS3" s="234"/>
      <c r="IT3" s="234"/>
      <c r="IU3" s="234"/>
      <c r="IV3" s="234"/>
      <c r="IW3" s="1643">
        <v>0</v>
      </c>
    </row>
    <row s="1826" customFormat="1" customHeight="1" ht="14.699999999999998">
      <c r="A4" s="1638"/>
      <c r="B4" s="1373"/>
      <c r="C4" s="1638"/>
      <c r="D4" s="1522"/>
      <c r="E4" s="1642"/>
      <c r="F4" s="1642"/>
      <c r="G4" s="1642"/>
      <c r="H4" s="1642"/>
      <c r="I4" s="1642"/>
      <c r="J4" s="1642"/>
      <c r="K4" s="1642"/>
      <c r="L4" s="1902"/>
      <c r="M4" s="255"/>
      <c r="N4" s="1631"/>
      <c r="O4" s="1631"/>
      <c r="P4" s="1631"/>
      <c r="Q4" s="1631"/>
      <c r="R4" s="1631"/>
      <c r="S4" s="232"/>
      <c r="T4" s="232"/>
      <c r="U4" s="232"/>
      <c r="V4" s="232"/>
      <c r="IW4" s="1616">
        <v>14</v>
      </c>
    </row>
    <row s="1826" customFormat="1" customHeight="1" ht="27.299999999999997">
      <c r="A5" s="1638"/>
      <c r="B5" s="1373"/>
      <c r="C5" s="1638"/>
      <c r="D5" s="1522"/>
      <c r="E5" s="2107"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7"/>
      <c r="G5" s="2107"/>
      <c r="H5" s="2107"/>
      <c r="I5" s="2107"/>
      <c r="J5" s="2107"/>
      <c r="K5" s="2107"/>
      <c r="L5" s="1642"/>
      <c r="M5" s="255"/>
      <c r="N5" s="1631"/>
      <c r="O5" s="1631"/>
      <c r="P5" s="1631"/>
      <c r="Q5" s="1631"/>
      <c r="R5" s="1631"/>
      <c r="S5" s="232"/>
      <c r="T5" s="232"/>
      <c r="U5" s="232"/>
      <c r="V5" s="232"/>
      <c r="IW5" s="1616">
        <v>26</v>
      </c>
    </row>
    <row s="1826" customFormat="1" customHeight="1" ht="14.699999999999998">
      <c r="A6" s="1638"/>
      <c r="B6" s="1373"/>
      <c r="C6" s="1638"/>
      <c r="D6" s="1522"/>
      <c r="E6" s="1642"/>
      <c r="F6" s="623"/>
      <c r="G6" s="623"/>
      <c r="H6" s="623"/>
      <c r="I6" s="623"/>
      <c r="J6" s="623"/>
      <c r="K6" s="623"/>
      <c r="L6" s="1259"/>
      <c r="M6" s="1631"/>
      <c r="N6" s="1631"/>
      <c r="O6" s="1631"/>
      <c r="P6" s="1631"/>
      <c r="Q6" s="1631"/>
      <c r="R6" s="1631"/>
      <c r="S6" s="232"/>
      <c r="T6" s="232"/>
      <c r="U6" s="232"/>
      <c r="V6" s="232"/>
      <c r="IW6" s="1616">
        <v>14</v>
      </c>
    </row>
    <row s="1826" customFormat="1" customHeight="1" ht="14.699999999999998">
      <c r="A7" s="1638"/>
      <c r="B7" s="1373"/>
      <c r="C7" s="1638"/>
      <c r="D7" s="1522"/>
      <c r="E7" s="2108" t="s">
        <v>463</v>
      </c>
      <c r="F7" s="2109"/>
      <c r="G7" s="2109"/>
      <c r="H7" s="2109"/>
      <c r="I7" s="2109"/>
      <c r="J7" s="2109"/>
      <c r="K7" s="2109"/>
      <c r="L7" s="2481" t="s">
        <v>464</v>
      </c>
      <c r="M7" s="1631"/>
      <c r="N7" s="1631"/>
      <c r="O7" s="1631"/>
      <c r="P7" s="1631"/>
      <c r="Q7" s="1631"/>
      <c r="R7" s="1631"/>
      <c r="S7" s="232"/>
      <c r="T7" s="232"/>
      <c r="U7" s="232"/>
      <c r="V7" s="232"/>
      <c r="IW7" s="1616">
        <v>14</v>
      </c>
    </row>
    <row s="1826" customFormat="1" customHeight="1" ht="67.2">
      <c r="A8" s="1638"/>
      <c r="B8" s="1373"/>
      <c r="C8" s="1638"/>
      <c r="D8" s="1522"/>
      <c r="E8" s="2485" t="s">
        <v>88</v>
      </c>
      <c r="F8" s="2485" t="s">
        <v>2030</v>
      </c>
      <c r="G8" s="2487" t="s">
        <v>2031</v>
      </c>
      <c r="H8" s="2488"/>
      <c r="I8" s="2489"/>
      <c r="J8" s="2485" t="s">
        <v>2032</v>
      </c>
      <c r="K8" s="2485"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83"/>
      <c r="M8" s="1631"/>
      <c r="N8" s="1631"/>
      <c r="O8" s="1631"/>
      <c r="P8" s="1631"/>
      <c r="Q8" s="1631"/>
      <c r="R8" s="1631"/>
      <c r="S8" s="232"/>
      <c r="T8" s="232"/>
      <c r="U8" s="232"/>
      <c r="V8" s="232"/>
      <c r="IW8" s="1616">
        <v>64</v>
      </c>
    </row>
    <row s="1826" customFormat="1" customHeight="1" ht="29.25">
      <c r="A9" s="1638"/>
      <c r="B9" s="1373"/>
      <c r="C9" s="1638"/>
      <c r="D9" s="1522"/>
      <c r="E9" s="2486"/>
      <c r="F9" s="2486"/>
      <c r="G9" s="1901" t="s">
        <v>2026</v>
      </c>
      <c r="H9" s="1901" t="s">
        <v>2027</v>
      </c>
      <c r="I9" s="1901" t="s">
        <v>2028</v>
      </c>
      <c r="J9" s="2486"/>
      <c r="K9" s="2486"/>
      <c r="L9" s="2482"/>
      <c r="M9" s="1631"/>
      <c r="N9" s="1631"/>
      <c r="O9" s="1631"/>
      <c r="P9" s="1631"/>
      <c r="Q9" s="1631"/>
      <c r="R9" s="1631"/>
      <c r="S9" s="232"/>
      <c r="T9" s="232"/>
      <c r="U9" s="232"/>
      <c r="V9" s="232"/>
      <c r="IW9" s="1616">
        <v>28</v>
      </c>
    </row>
    <row s="1857" customFormat="1" customHeight="1" ht="1.05">
      <c r="A10" s="2106"/>
      <c r="B10" s="1373">
        <v>1</v>
      </c>
      <c r="C10" s="1373"/>
      <c r="D10" s="807"/>
      <c r="E10" s="802">
        <v>0</v>
      </c>
      <c r="F10" s="1898" t="str">
        <f>IF(ROIV_INFO_NAME="","",ROIV_INFO_NAME)</f>
        <v>ГУП "Белоблводоканал"</v>
      </c>
      <c r="G10" s="1740" t="s">
        <v>28</v>
      </c>
      <c r="H10" s="1910"/>
      <c r="I10" s="1910"/>
      <c r="J10" s="526"/>
      <c r="K10" s="526"/>
      <c r="L10" s="2439"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42">
        <f>MERGEVALUE(F10)</f>
      </c>
      <c r="N10" s="1643"/>
      <c r="O10" s="1643"/>
      <c r="P10" s="1631" t="str">
        <f t="array" ref="P10:P10">IF(ISERROR(MATCH(MID(Q10,1,250),MID(note_ter,1,250),0)),"n","y")</f>
        <v>n</v>
      </c>
      <c r="Q10" s="1643"/>
      <c r="R10" s="1631"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73"/>
      <c r="T10" s="1373"/>
      <c r="U10" s="427"/>
      <c r="V10" s="1373"/>
      <c r="W10" s="1373"/>
      <c r="X10" s="1373"/>
      <c r="Y10" s="840"/>
      <c r="Z10" s="840"/>
      <c r="AA10" s="634"/>
      <c r="AB10" s="634"/>
      <c r="AC10" s="634"/>
      <c r="AD10" s="634"/>
      <c r="AE10" s="634"/>
      <c r="AF10" s="634"/>
      <c r="AG10" s="634"/>
      <c r="AH10" s="634"/>
      <c r="AI10" s="634"/>
      <c r="AJ10" s="634"/>
      <c r="AK10" s="634"/>
      <c r="AL10" s="634"/>
      <c r="AM10" s="634"/>
      <c r="AN10" s="634"/>
      <c r="AO10" s="634"/>
      <c r="AP10" s="634"/>
      <c r="AQ10" s="634"/>
      <c r="AR10" s="634"/>
      <c r="AS10" s="634"/>
      <c r="AT10" s="634"/>
      <c r="AU10" s="634"/>
      <c r="AV10" s="634"/>
      <c r="AW10" s="634"/>
      <c r="AX10" s="634"/>
      <c r="AY10" s="634"/>
      <c r="AZ10" s="634"/>
      <c r="BA10" s="634"/>
      <c r="BB10" s="634"/>
      <c r="BC10" s="634"/>
      <c r="BD10" s="634"/>
      <c r="BE10" s="634"/>
      <c r="BF10" s="634"/>
      <c r="BG10" s="634"/>
      <c r="BH10" s="634"/>
      <c r="BI10" s="634"/>
      <c r="BJ10" s="634"/>
      <c r="BK10" s="634"/>
      <c r="BL10" s="634"/>
      <c r="BM10" s="634"/>
      <c r="BN10" s="634"/>
      <c r="BO10" s="634"/>
      <c r="BP10" s="634"/>
      <c r="BQ10" s="634"/>
      <c r="BR10" s="634"/>
      <c r="BS10" s="634"/>
      <c r="BT10" s="634"/>
      <c r="BU10" s="634"/>
      <c r="BV10" s="840"/>
      <c r="BW10" s="840"/>
      <c r="BX10" s="840"/>
      <c r="BY10" s="840"/>
      <c r="BZ10" s="840"/>
      <c r="CA10" s="840"/>
      <c r="CB10" s="840"/>
      <c r="CC10" s="840"/>
      <c r="CD10" s="840"/>
      <c r="CE10" s="840"/>
      <c r="IW10" s="631">
        <v>1</v>
      </c>
    </row>
    <row s="1857" customFormat="1" customHeight="1" ht="15.75">
      <c r="A11" s="2106"/>
      <c r="B11" s="1373"/>
      <c r="C11" s="419"/>
      <c r="D11" s="808"/>
      <c r="E11" s="428"/>
      <c r="F11" s="658" t="s">
        <v>2029</v>
      </c>
      <c r="G11" s="194"/>
      <c r="H11" s="194"/>
      <c r="I11" s="194"/>
      <c r="J11" s="194"/>
      <c r="K11" s="431"/>
      <c r="L11" s="2484"/>
      <c r="M11" s="1543"/>
      <c r="N11" s="1643"/>
      <c r="O11" s="1643"/>
      <c r="P11" s="1643"/>
      <c r="Q11" s="1631"/>
      <c r="R11" s="1643"/>
      <c r="S11" s="1373"/>
      <c r="T11" s="1373"/>
      <c r="U11" s="427"/>
      <c r="V11" s="1373"/>
      <c r="W11" s="1373"/>
      <c r="X11" s="1373"/>
      <c r="Y11" s="840"/>
      <c r="Z11" s="840"/>
      <c r="AA11" s="634"/>
      <c r="AB11" s="634"/>
      <c r="AC11" s="634"/>
      <c r="AD11" s="634"/>
      <c r="AE11" s="634"/>
      <c r="AF11" s="634"/>
      <c r="AG11" s="634"/>
      <c r="AH11" s="634"/>
      <c r="AI11" s="634"/>
      <c r="AJ11" s="634"/>
      <c r="AK11" s="634"/>
      <c r="AL11" s="634"/>
      <c r="AM11" s="634"/>
      <c r="AN11" s="634"/>
      <c r="AO11" s="634"/>
      <c r="AP11" s="634"/>
      <c r="AQ11" s="634"/>
      <c r="AR11" s="634"/>
      <c r="AS11" s="634"/>
      <c r="AT11" s="634"/>
      <c r="AU11" s="634"/>
      <c r="AV11" s="634"/>
      <c r="AW11" s="634"/>
      <c r="AX11" s="634"/>
      <c r="AY11" s="634"/>
      <c r="AZ11" s="634"/>
      <c r="BA11" s="634"/>
      <c r="BB11" s="634"/>
      <c r="BC11" s="634"/>
      <c r="BD11" s="634"/>
      <c r="BE11" s="634"/>
      <c r="BF11" s="634"/>
      <c r="BG11" s="634"/>
      <c r="BH11" s="634"/>
      <c r="BI11" s="634"/>
      <c r="BJ11" s="634"/>
      <c r="BK11" s="634"/>
      <c r="BL11" s="634"/>
      <c r="BM11" s="634"/>
      <c r="BN11" s="634"/>
      <c r="BO11" s="634"/>
      <c r="BP11" s="634"/>
      <c r="BQ11" s="634"/>
      <c r="BR11" s="634"/>
      <c r="BS11" s="634"/>
      <c r="BT11" s="634"/>
      <c r="BU11" s="634"/>
      <c r="BV11" s="840"/>
      <c r="BW11" s="840"/>
      <c r="BX11" s="840"/>
      <c r="BY11" s="840"/>
      <c r="BZ11" s="840"/>
      <c r="CA11" s="840"/>
      <c r="CB11" s="840"/>
      <c r="CC11" s="840"/>
      <c r="CD11" s="840"/>
      <c r="CE11" s="840"/>
      <c r="IW11" s="631">
        <v>15</v>
      </c>
    </row>
    <row s="1826" customFormat="1" customHeight="1" ht="22.049999999999997">
      <c r="A12" s="1638"/>
      <c r="B12" s="1373"/>
      <c r="C12" s="1638"/>
      <c r="D12" s="1640"/>
      <c r="E12" s="187"/>
      <c r="F12" s="187"/>
      <c r="G12" s="187"/>
      <c r="H12" s="187"/>
      <c r="I12" s="187"/>
      <c r="J12" s="187"/>
      <c r="K12" s="187"/>
      <c r="L12" s="187"/>
      <c r="M12" s="1631"/>
      <c r="N12" s="1631"/>
      <c r="O12" s="1631"/>
      <c r="P12" s="1631"/>
      <c r="Q12" s="1631"/>
      <c r="R12" s="1631"/>
      <c r="S12" s="232"/>
      <c r="T12" s="232"/>
      <c r="U12" s="232"/>
      <c r="V12" s="232"/>
      <c r="IW12" s="1616">
        <v>21</v>
      </c>
    </row>
    <row s="1826" customFormat="1" customHeight="1" ht="14.699999999999998">
      <c r="A13" s="1638"/>
      <c r="B13" s="1373"/>
      <c r="C13" s="1638"/>
      <c r="D13" s="1640"/>
      <c r="E13" s="1638"/>
      <c r="F13" s="1638"/>
      <c r="G13" s="1638"/>
      <c r="H13" s="1638"/>
      <c r="I13" s="1638"/>
      <c r="J13" s="1638"/>
      <c r="K13" s="1638"/>
      <c r="L13" s="1638"/>
      <c r="M13" s="1631"/>
      <c r="N13" s="1631"/>
      <c r="O13" s="1631"/>
      <c r="P13" s="1631"/>
      <c r="Q13" s="1631"/>
      <c r="R13" s="1631"/>
      <c r="S13" s="232"/>
      <c r="T13" s="232"/>
      <c r="U13" s="232"/>
      <c r="V13" s="232"/>
      <c r="IW13" s="1616">
        <v>14</v>
      </c>
    </row>
    <row s="1826" customFormat="1" customHeight="1" ht="1.05">
      <c r="A14" s="1638"/>
      <c r="B14" s="1373"/>
      <c r="C14" s="1638"/>
      <c r="D14" s="1640"/>
      <c r="E14" s="1638"/>
      <c r="F14" s="1638"/>
      <c r="G14" s="1638"/>
      <c r="H14" s="1638"/>
      <c r="I14" s="1638"/>
      <c r="J14" s="1638"/>
      <c r="K14" s="1638"/>
      <c r="L14" s="1638"/>
      <c r="M14" s="1631"/>
      <c r="N14" s="1631"/>
      <c r="O14" s="1631"/>
      <c r="P14" s="1631"/>
      <c r="Q14" s="1631"/>
      <c r="R14" s="1631"/>
      <c r="S14" s="232"/>
      <c r="T14" s="232"/>
      <c r="U14" s="232"/>
      <c r="V14" s="232"/>
      <c r="IW14" s="1616">
        <v>1</v>
      </c>
    </row>
    <row customHeight="1" ht="22.5" hidden="1">
      <c r="A15" s="1638" t="s">
        <v>82</v>
      </c>
      <c r="B15" s="1373">
        <v>0</v>
      </c>
      <c r="C15" s="1638">
        <v>0</v>
      </c>
      <c r="D15" s="1640">
        <v>3</v>
      </c>
      <c r="E15" s="1638">
        <v>6</v>
      </c>
      <c r="F15" s="1638">
        <v>27</v>
      </c>
      <c r="G15" s="1638">
        <v>16</v>
      </c>
      <c r="H15" s="1638">
        <v>12</v>
      </c>
      <c r="I15" s="1638">
        <v>32</v>
      </c>
      <c r="J15" s="1638">
        <v>41</v>
      </c>
      <c r="K15" s="1638">
        <v>41</v>
      </c>
      <c r="L15" s="1638">
        <v>89</v>
      </c>
      <c r="M15" s="1631">
        <v>3</v>
      </c>
      <c r="N15" s="1631">
        <v>8</v>
      </c>
      <c r="O15" s="1631">
        <v>8</v>
      </c>
      <c r="P15" s="1631">
        <v>8</v>
      </c>
      <c r="Q15" s="1631">
        <v>25</v>
      </c>
      <c r="R15" s="1631">
        <v>14</v>
      </c>
      <c r="S15" s="232">
        <v>8</v>
      </c>
      <c r="T15" s="232">
        <v>8</v>
      </c>
      <c r="U15" s="232">
        <v>8</v>
      </c>
      <c r="V15" s="232">
        <v>8</v>
      </c>
      <c r="W15" s="1638">
        <v>8</v>
      </c>
      <c r="X15" s="1638">
        <v>8</v>
      </c>
      <c r="Y15" s="1638">
        <v>8</v>
      </c>
      <c r="Z15" s="1638">
        <v>8</v>
      </c>
      <c r="AA15" s="1638">
        <v>8</v>
      </c>
      <c r="AB15" s="1638">
        <v>8</v>
      </c>
      <c r="AC15" s="1638">
        <v>8</v>
      </c>
      <c r="AD15" s="1638">
        <v>8</v>
      </c>
      <c r="AE15" s="1638">
        <v>8</v>
      </c>
      <c r="AF15" s="1638">
        <v>8</v>
      </c>
      <c r="AG15" s="1638">
        <v>8</v>
      </c>
      <c r="AH15" s="1638">
        <v>8</v>
      </c>
      <c r="AI15" s="1638">
        <v>8</v>
      </c>
      <c r="AJ15" s="1638">
        <v>8</v>
      </c>
      <c r="AK15" s="1638">
        <v>8</v>
      </c>
      <c r="AL15" s="1638">
        <v>8</v>
      </c>
      <c r="AM15" s="1638">
        <v>8</v>
      </c>
      <c r="AN15" s="1638">
        <v>8</v>
      </c>
      <c r="AO15" s="1638">
        <v>8</v>
      </c>
      <c r="AP15" s="1638">
        <v>8</v>
      </c>
      <c r="AQ15" s="1638">
        <v>8</v>
      </c>
      <c r="AR15" s="1638">
        <v>8</v>
      </c>
      <c r="AS15" s="1638">
        <v>8</v>
      </c>
      <c r="AT15" s="1638">
        <v>8</v>
      </c>
      <c r="AU15" s="1638">
        <v>8</v>
      </c>
      <c r="AV15" s="1638">
        <v>8</v>
      </c>
      <c r="AW15" s="1638">
        <v>8</v>
      </c>
      <c r="AX15" s="1638">
        <v>8</v>
      </c>
      <c r="AY15" s="1638">
        <v>8</v>
      </c>
      <c r="AZ15" s="1638">
        <v>8</v>
      </c>
      <c r="BA15" s="1638">
        <v>8</v>
      </c>
      <c r="BB15" s="1638">
        <v>8</v>
      </c>
      <c r="BC15" s="1638">
        <v>8</v>
      </c>
      <c r="BD15" s="1638">
        <v>8</v>
      </c>
      <c r="BE15" s="1638">
        <v>8</v>
      </c>
      <c r="BF15" s="1638">
        <v>8</v>
      </c>
      <c r="BG15" s="1638">
        <v>8</v>
      </c>
      <c r="BH15" s="1638">
        <v>8</v>
      </c>
      <c r="BI15" s="1638">
        <v>8</v>
      </c>
      <c r="BJ15" s="1638">
        <v>8</v>
      </c>
      <c r="BK15" s="1638">
        <v>8</v>
      </c>
      <c r="BL15" s="1638">
        <v>8</v>
      </c>
      <c r="BM15" s="1638">
        <v>8</v>
      </c>
      <c r="BN15" s="1638">
        <v>8</v>
      </c>
      <c r="BO15" s="1638">
        <v>8</v>
      </c>
      <c r="BP15" s="1638">
        <v>8</v>
      </c>
      <c r="BQ15" s="1638">
        <v>8</v>
      </c>
      <c r="BR15" s="1638">
        <v>8</v>
      </c>
      <c r="BS15" s="1638">
        <v>8</v>
      </c>
      <c r="BT15" s="1638">
        <v>8</v>
      </c>
      <c r="BU15" s="1638">
        <v>8</v>
      </c>
      <c r="BV15" s="1638">
        <v>8</v>
      </c>
      <c r="BW15" s="1638">
        <v>8</v>
      </c>
      <c r="BX15" s="1638">
        <v>8</v>
      </c>
      <c r="BY15" s="1638">
        <v>8</v>
      </c>
      <c r="BZ15" s="1638">
        <v>8</v>
      </c>
      <c r="CA15" s="1638">
        <v>8</v>
      </c>
      <c r="CB15" s="1638">
        <v>8</v>
      </c>
      <c r="CC15" s="1638">
        <v>8</v>
      </c>
      <c r="CD15" s="1638">
        <v>8</v>
      </c>
      <c r="CE15" s="1638">
        <v>8</v>
      </c>
      <c r="CF15" s="1638">
        <v>8</v>
      </c>
      <c r="CG15" s="1638">
        <v>8</v>
      </c>
      <c r="CH15" s="1638">
        <v>8</v>
      </c>
      <c r="CI15" s="1638">
        <v>8</v>
      </c>
      <c r="CJ15" s="1638">
        <v>8</v>
      </c>
      <c r="CK15" s="1638">
        <v>8</v>
      </c>
      <c r="CL15" s="1638">
        <v>8</v>
      </c>
      <c r="CM15" s="1638">
        <v>8</v>
      </c>
      <c r="CN15" s="1638">
        <v>8</v>
      </c>
      <c r="CO15" s="1638">
        <v>8</v>
      </c>
      <c r="CP15" s="1638">
        <v>8</v>
      </c>
      <c r="CQ15" s="1638">
        <v>8</v>
      </c>
      <c r="CR15" s="1638">
        <v>8</v>
      </c>
      <c r="CS15" s="1638">
        <v>8</v>
      </c>
      <c r="CT15" s="1638">
        <v>8</v>
      </c>
      <c r="CU15" s="1638">
        <v>8</v>
      </c>
      <c r="CV15" s="1638">
        <v>8</v>
      </c>
      <c r="CW15" s="1638">
        <v>8</v>
      </c>
      <c r="CX15" s="1638">
        <v>8</v>
      </c>
      <c r="CY15" s="1638">
        <v>8</v>
      </c>
      <c r="CZ15" s="1638">
        <v>8</v>
      </c>
      <c r="DA15" s="1638">
        <v>8</v>
      </c>
      <c r="DB15" s="1638">
        <v>8</v>
      </c>
      <c r="DC15" s="1638">
        <v>8</v>
      </c>
      <c r="DD15" s="1638">
        <v>8</v>
      </c>
      <c r="DE15" s="1638">
        <v>8</v>
      </c>
      <c r="DF15" s="1638">
        <v>8</v>
      </c>
      <c r="DG15" s="1638">
        <v>8</v>
      </c>
      <c r="DH15" s="1638">
        <v>8</v>
      </c>
      <c r="DI15" s="1638">
        <v>8</v>
      </c>
      <c r="DJ15" s="1638">
        <v>8</v>
      </c>
      <c r="DK15" s="1638">
        <v>8</v>
      </c>
      <c r="DL15" s="1638">
        <v>8</v>
      </c>
      <c r="DM15" s="1638">
        <v>8</v>
      </c>
      <c r="DN15" s="1638">
        <v>8</v>
      </c>
      <c r="DO15" s="1638">
        <v>8</v>
      </c>
      <c r="DP15" s="1638">
        <v>8</v>
      </c>
      <c r="DQ15" s="1638">
        <v>8</v>
      </c>
      <c r="DR15" s="1638">
        <v>8</v>
      </c>
      <c r="DS15" s="1638">
        <v>8</v>
      </c>
      <c r="DT15" s="1638">
        <v>8</v>
      </c>
      <c r="DU15" s="1638">
        <v>8</v>
      </c>
      <c r="DV15" s="1638">
        <v>8</v>
      </c>
      <c r="DW15" s="1638">
        <v>8</v>
      </c>
      <c r="DX15" s="1638">
        <v>8</v>
      </c>
      <c r="DY15" s="1638">
        <v>8</v>
      </c>
      <c r="DZ15" s="1638">
        <v>8</v>
      </c>
      <c r="EA15" s="1638">
        <v>8</v>
      </c>
      <c r="EB15" s="1638">
        <v>8</v>
      </c>
      <c r="EC15" s="1638">
        <v>8</v>
      </c>
      <c r="ED15" s="1638">
        <v>8</v>
      </c>
      <c r="EE15" s="1638">
        <v>8</v>
      </c>
      <c r="EF15" s="1638">
        <v>8</v>
      </c>
      <c r="EG15" s="1638">
        <v>8</v>
      </c>
      <c r="EH15" s="1638">
        <v>8</v>
      </c>
      <c r="EI15" s="1638">
        <v>8</v>
      </c>
      <c r="EJ15" s="1638">
        <v>8</v>
      </c>
      <c r="EK15" s="1638">
        <v>8</v>
      </c>
      <c r="EL15" s="1638">
        <v>8</v>
      </c>
      <c r="EM15" s="1638">
        <v>8</v>
      </c>
      <c r="EN15" s="1638">
        <v>8</v>
      </c>
      <c r="EO15" s="1638">
        <v>8</v>
      </c>
      <c r="EP15" s="1638">
        <v>8</v>
      </c>
      <c r="EQ15" s="1638">
        <v>8</v>
      </c>
      <c r="ER15" s="1638">
        <v>8</v>
      </c>
      <c r="ES15" s="1638">
        <v>8</v>
      </c>
      <c r="ET15" s="1638">
        <v>8</v>
      </c>
      <c r="EU15" s="1638">
        <v>8</v>
      </c>
      <c r="EV15" s="1638">
        <v>8</v>
      </c>
      <c r="EW15" s="1638">
        <v>8</v>
      </c>
      <c r="EX15" s="1638">
        <v>8</v>
      </c>
      <c r="EY15" s="1638">
        <v>8</v>
      </c>
      <c r="EZ15" s="1638">
        <v>8</v>
      </c>
      <c r="FA15" s="1638">
        <v>8</v>
      </c>
      <c r="FB15" s="1638">
        <v>8</v>
      </c>
      <c r="FC15" s="1638">
        <v>8</v>
      </c>
      <c r="FD15" s="1638">
        <v>8</v>
      </c>
      <c r="FE15" s="1638">
        <v>8</v>
      </c>
      <c r="FF15" s="1638">
        <v>8</v>
      </c>
      <c r="FG15" s="1638">
        <v>8</v>
      </c>
      <c r="FH15" s="1638">
        <v>8</v>
      </c>
      <c r="FI15" s="1638">
        <v>8</v>
      </c>
      <c r="FJ15" s="1638">
        <v>8</v>
      </c>
      <c r="FK15" s="1638">
        <v>8</v>
      </c>
      <c r="FL15" s="1638">
        <v>8</v>
      </c>
      <c r="FM15" s="1638">
        <v>8</v>
      </c>
      <c r="FN15" s="1638">
        <v>8</v>
      </c>
      <c r="FO15" s="1638">
        <v>8</v>
      </c>
      <c r="FP15" s="1638">
        <v>8</v>
      </c>
      <c r="FQ15" s="1638">
        <v>8</v>
      </c>
      <c r="FR15" s="1638">
        <v>8</v>
      </c>
      <c r="FS15" s="1638">
        <v>8</v>
      </c>
      <c r="FT15" s="1638">
        <v>8</v>
      </c>
      <c r="FU15" s="1638">
        <v>8</v>
      </c>
      <c r="FV15" s="1638">
        <v>8</v>
      </c>
      <c r="FW15" s="1638">
        <v>8</v>
      </c>
      <c r="FX15" s="1638">
        <v>8</v>
      </c>
      <c r="FY15" s="1638">
        <v>8</v>
      </c>
      <c r="FZ15" s="1638">
        <v>8</v>
      </c>
      <c r="GA15" s="1638">
        <v>8</v>
      </c>
      <c r="GB15" s="1638">
        <v>8</v>
      </c>
      <c r="GC15" s="1638">
        <v>8</v>
      </c>
      <c r="GD15" s="1638">
        <v>8</v>
      </c>
      <c r="GE15" s="1638">
        <v>8</v>
      </c>
      <c r="GF15" s="1638">
        <v>8</v>
      </c>
      <c r="GG15" s="1638">
        <v>8</v>
      </c>
      <c r="GH15" s="1638">
        <v>8</v>
      </c>
      <c r="GI15" s="1638">
        <v>8</v>
      </c>
      <c r="GJ15" s="1638">
        <v>8</v>
      </c>
      <c r="GK15" s="1638">
        <v>8</v>
      </c>
      <c r="GL15" s="1638">
        <v>8</v>
      </c>
      <c r="GM15" s="1638">
        <v>8</v>
      </c>
      <c r="GN15" s="1638">
        <v>8</v>
      </c>
      <c r="GO15" s="1638">
        <v>8</v>
      </c>
      <c r="GP15" s="1638">
        <v>8</v>
      </c>
      <c r="GQ15" s="1638">
        <v>8</v>
      </c>
      <c r="GR15" s="1638">
        <v>8</v>
      </c>
      <c r="GS15" s="1638">
        <v>8</v>
      </c>
      <c r="GT15" s="1638">
        <v>8</v>
      </c>
      <c r="GU15" s="1638">
        <v>8</v>
      </c>
      <c r="GV15" s="1638">
        <v>8</v>
      </c>
      <c r="GW15" s="1638">
        <v>8</v>
      </c>
      <c r="GX15" s="1638">
        <v>8</v>
      </c>
      <c r="GY15" s="1638">
        <v>8</v>
      </c>
      <c r="GZ15" s="1638">
        <v>8</v>
      </c>
      <c r="HA15" s="1638">
        <v>8</v>
      </c>
      <c r="HB15" s="1638">
        <v>8</v>
      </c>
      <c r="HC15" s="1638">
        <v>8</v>
      </c>
      <c r="HD15" s="1638">
        <v>8</v>
      </c>
      <c r="HE15" s="1638">
        <v>8</v>
      </c>
      <c r="HF15" s="1638">
        <v>8</v>
      </c>
      <c r="HG15" s="1638">
        <v>8</v>
      </c>
      <c r="HH15" s="1638">
        <v>8</v>
      </c>
      <c r="HI15" s="1638">
        <v>8</v>
      </c>
      <c r="HJ15" s="1638">
        <v>8</v>
      </c>
      <c r="HK15" s="1638">
        <v>8</v>
      </c>
      <c r="HL15" s="1638">
        <v>8</v>
      </c>
      <c r="HM15" s="1638">
        <v>8</v>
      </c>
      <c r="HN15" s="1638">
        <v>8</v>
      </c>
      <c r="HO15" s="1638">
        <v>8</v>
      </c>
      <c r="HP15" s="1638">
        <v>8</v>
      </c>
      <c r="HQ15" s="1638">
        <v>8</v>
      </c>
      <c r="HR15" s="1638">
        <v>8</v>
      </c>
      <c r="HS15" s="1638">
        <v>8</v>
      </c>
      <c r="HT15" s="1638">
        <v>8</v>
      </c>
      <c r="HU15" s="1638">
        <v>8</v>
      </c>
      <c r="HV15" s="1638">
        <v>8</v>
      </c>
      <c r="HW15" s="1638">
        <v>8</v>
      </c>
      <c r="HX15" s="1638">
        <v>8</v>
      </c>
      <c r="HY15" s="1638">
        <v>8</v>
      </c>
      <c r="HZ15" s="1638">
        <v>8</v>
      </c>
      <c r="IA15" s="1638">
        <v>8</v>
      </c>
      <c r="IB15" s="1638">
        <v>8</v>
      </c>
      <c r="IC15" s="1638">
        <v>8</v>
      </c>
      <c r="ID15" s="1638">
        <v>8</v>
      </c>
      <c r="IE15" s="1638">
        <v>8</v>
      </c>
      <c r="IF15" s="1638">
        <v>8</v>
      </c>
      <c r="IG15" s="1638">
        <v>8</v>
      </c>
      <c r="IH15" s="1638">
        <v>8</v>
      </c>
      <c r="II15" s="1638">
        <v>8</v>
      </c>
      <c r="IJ15" s="1638">
        <v>8</v>
      </c>
      <c r="IK15" s="1638">
        <v>8</v>
      </c>
      <c r="IL15" s="1638">
        <v>8</v>
      </c>
      <c r="IM15" s="1638">
        <v>8</v>
      </c>
      <c r="IN15" s="1638">
        <v>8</v>
      </c>
      <c r="IO15" s="1638">
        <v>8</v>
      </c>
      <c r="IP15" s="1638">
        <v>8</v>
      </c>
      <c r="IQ15" s="1638">
        <v>8</v>
      </c>
      <c r="IR15" s="1638">
        <v>8</v>
      </c>
      <c r="IS15" s="1638">
        <v>8</v>
      </c>
      <c r="IT15" s="1638">
        <v>8</v>
      </c>
      <c r="IU15" s="1638">
        <v>8</v>
      </c>
      <c r="IV15" s="1638">
        <v>8</v>
      </c>
      <c r="IW15" s="1638">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FFA131-2BF7-9D7B-FFF6-DA5C052CAB9C}"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42" width="9.140625" hidden="1"/>
    <col min="2" max="2" style="1373" width="9.140625" hidden="1"/>
    <col min="3" max="3" style="1642" width="3.7109375" hidden="1" customWidth="1"/>
    <col min="4" max="4" style="1849" width="3.00390625" customWidth="1"/>
    <col min="5" max="5" style="1642" width="6.00390625" customWidth="1"/>
    <col min="6" max="6" style="1642" width="27.00390625" customWidth="1"/>
    <col min="7" max="7" style="1642" width="29.00390625" customWidth="1"/>
    <col min="8" max="8" style="1642" width="25.00390625" customWidth="1"/>
    <col min="9" max="9" style="1642" width="5.00390625" customWidth="1"/>
    <col min="10" max="10" style="1642" width="6.00390625" customWidth="1"/>
    <col min="11" max="11" style="1642" width="41.00390625" customWidth="1"/>
    <col min="12" max="12" style="1642" width="42.00390625" customWidth="1"/>
    <col min="13" max="13" style="1642" width="41.00390625" customWidth="1"/>
    <col min="14" max="14" style="1642" width="89.00390625" customWidth="1"/>
    <col min="15" max="15" style="1631" width="3.00390625" customWidth="1"/>
    <col min="16" max="16" style="1631" width="8.00390625" customWidth="1"/>
    <col min="17" max="17" style="1642" width="9.140625" hidden="1"/>
  </cols>
  <sheetData>
    <row customHeight="1" ht="22.5" hidden="1">
      <c r="Q1" s="1162" t="s">
        <v>14</v>
      </c>
    </row>
    <row s="1857" customFormat="1" customHeight="1" ht="22.5" hidden="1">
      <c r="A2" s="503"/>
      <c r="B2" s="1167">
        <v>1</v>
      </c>
      <c r="C2" s="1167"/>
      <c r="D2" s="1935" t="s">
        <v>102</v>
      </c>
      <c r="E2" s="2134">
        <v>1</v>
      </c>
      <c r="F2" s="2310" t="str">
        <f>IF(region_name="","",region_name)</f>
        <v>Белгородская область</v>
      </c>
      <c r="G2" s="2490"/>
      <c r="H2" s="2491"/>
      <c r="I2" s="481"/>
      <c r="J2" s="1917">
        <v>1</v>
      </c>
      <c r="K2" s="1919"/>
      <c r="L2" s="1919"/>
      <c r="M2" s="1919"/>
      <c r="N2" s="499"/>
      <c r="O2" s="1542"/>
      <c r="P2" s="518"/>
      <c r="Q2" s="430">
        <v>0</v>
      </c>
    </row>
    <row s="1857" customFormat="1" customHeight="1" ht="22.5" hidden="1">
      <c r="A3" s="838"/>
      <c r="B3" s="1167"/>
      <c r="C3" s="1167"/>
      <c r="D3" s="808"/>
      <c r="E3" s="2134"/>
      <c r="F3" s="2310"/>
      <c r="G3" s="2490"/>
      <c r="H3" s="2492"/>
      <c r="I3" s="428"/>
      <c r="J3" s="1507"/>
      <c r="K3" s="1507" t="s">
        <v>2033</v>
      </c>
      <c r="L3" s="1550"/>
      <c r="M3" s="1927"/>
      <c r="N3" s="1920"/>
      <c r="O3" s="1542"/>
      <c r="P3" s="518"/>
      <c r="Q3" s="430">
        <v>0</v>
      </c>
    </row>
    <row s="1649" customFormat="1" customHeight="1" ht="5.25" hidden="1">
      <c r="A4" s="503"/>
      <c r="D4" s="501"/>
      <c r="F4" s="254" t="s">
        <v>83</v>
      </c>
      <c r="G4" s="501" t="s">
        <v>84</v>
      </c>
      <c r="H4" s="501"/>
      <c r="I4" s="1930"/>
      <c r="J4" s="1551"/>
      <c r="K4" s="1918"/>
      <c r="L4" s="1918"/>
      <c r="M4" s="1918"/>
      <c r="N4" s="1914"/>
      <c r="O4" s="254" t="s">
        <v>83</v>
      </c>
      <c r="P4" s="254"/>
      <c r="Q4" s="518">
        <v>0</v>
      </c>
    </row>
    <row s="1857" customFormat="1" customHeight="1" ht="22.5" hidden="1">
      <c r="A5" s="1648"/>
      <c r="B5" s="1373">
        <v>1</v>
      </c>
      <c r="C5" s="1373"/>
      <c r="D5" s="808"/>
      <c r="E5" s="1920"/>
      <c r="F5" s="1920"/>
      <c r="G5" s="1920"/>
      <c r="H5" s="1931"/>
      <c r="I5" s="1936" t="s">
        <v>102</v>
      </c>
      <c r="J5" s="1929">
        <v>1</v>
      </c>
      <c r="K5" s="1919"/>
      <c r="L5" s="1919"/>
      <c r="M5" s="1919"/>
      <c r="N5" s="499"/>
      <c r="O5" s="1542"/>
      <c r="P5" s="1643"/>
      <c r="Q5" s="631">
        <v>0</v>
      </c>
    </row>
    <row s="1826" customFormat="1" customHeight="1" ht="14.699999999999998">
      <c r="A6" s="1162"/>
      <c r="B6" s="1167"/>
      <c r="C6" s="1162"/>
      <c r="D6" s="1502"/>
      <c r="E6" s="516"/>
      <c r="F6" s="516"/>
      <c r="G6" s="516"/>
      <c r="H6" s="516"/>
      <c r="I6" s="516"/>
      <c r="J6" s="516"/>
      <c r="K6" s="516"/>
      <c r="L6" s="516"/>
      <c r="M6" s="516"/>
      <c r="N6" s="1642"/>
      <c r="O6" s="254"/>
      <c r="P6" s="507"/>
      <c r="Q6" s="514">
        <v>14</v>
      </c>
    </row>
    <row s="1826" customFormat="1" customHeight="1" ht="27.299999999999997">
      <c r="A7" s="1162"/>
      <c r="B7" s="1167"/>
      <c r="C7" s="1162"/>
      <c r="D7" s="1502"/>
      <c r="E7" s="2497"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7"/>
      <c r="G7" s="2497"/>
      <c r="H7" s="2497"/>
      <c r="I7" s="2497"/>
      <c r="J7" s="2497"/>
      <c r="K7" s="2497"/>
      <c r="L7" s="2497"/>
      <c r="M7" s="2497"/>
      <c r="N7" s="1259"/>
      <c r="O7" s="254"/>
      <c r="P7" s="507"/>
      <c r="Q7" s="514">
        <v>26</v>
      </c>
    </row>
    <row s="1826" customFormat="1" customHeight="1" ht="14.699999999999998">
      <c r="A8" s="1162"/>
      <c r="B8" s="1167"/>
      <c r="C8" s="1162"/>
      <c r="D8" s="1502"/>
      <c r="E8" s="516"/>
      <c r="F8" s="174"/>
      <c r="G8" s="174"/>
      <c r="H8" s="174"/>
      <c r="I8" s="174"/>
      <c r="J8" s="174"/>
      <c r="K8" s="174"/>
      <c r="L8" s="174"/>
      <c r="M8" s="174"/>
      <c r="N8" s="623"/>
      <c r="O8" s="507"/>
      <c r="P8" s="507"/>
      <c r="Q8" s="514">
        <v>14</v>
      </c>
    </row>
    <row s="1553" customFormat="1" customHeight="1" ht="14.25" hidden="1">
      <c r="A9" s="1475"/>
      <c r="B9" s="1485"/>
      <c r="C9" s="1475"/>
      <c r="D9" s="1502"/>
      <c r="E9" s="1921"/>
      <c r="F9" s="1921"/>
      <c r="G9" s="1921"/>
      <c r="H9" s="1921"/>
      <c r="I9" s="2500"/>
      <c r="J9" s="2500"/>
      <c r="K9" s="2500"/>
      <c r="L9" s="1921"/>
      <c r="M9" s="1922"/>
      <c r="O9" s="1552"/>
      <c r="P9" s="1552"/>
      <c r="Q9" s="1553">
        <v>0</v>
      </c>
    </row>
    <row s="1826" customFormat="1" customHeight="1" ht="14.699999999999998">
      <c r="A10" s="1162"/>
      <c r="B10" s="1167"/>
      <c r="C10" s="1162"/>
      <c r="D10" s="1502"/>
      <c r="E10" s="2134" t="s">
        <v>463</v>
      </c>
      <c r="F10" s="2134"/>
      <c r="G10" s="2134"/>
      <c r="H10" s="2134"/>
      <c r="I10" s="2134"/>
      <c r="J10" s="2134"/>
      <c r="K10" s="2134"/>
      <c r="L10" s="2134"/>
      <c r="M10" s="2108"/>
      <c r="N10" s="2485" t="s">
        <v>464</v>
      </c>
      <c r="O10" s="507"/>
      <c r="P10" s="507"/>
      <c r="Q10" s="514">
        <v>14</v>
      </c>
    </row>
    <row s="1826" customFormat="1" customHeight="1" ht="44.25">
      <c r="A11" s="1638"/>
      <c r="B11" s="1373"/>
      <c r="C11" s="1638"/>
      <c r="D11" s="1522"/>
      <c r="E11" s="2499" t="s">
        <v>88</v>
      </c>
      <c r="F11" s="2499" t="s">
        <v>467</v>
      </c>
      <c r="G11" s="2499" t="s">
        <v>2034</v>
      </c>
      <c r="H11" s="2499"/>
      <c r="I11" s="2499" t="s">
        <v>2035</v>
      </c>
      <c r="J11" s="2499"/>
      <c r="K11" s="2499"/>
      <c r="L11" s="2499" t="s">
        <v>2036</v>
      </c>
      <c r="M11" s="2487" t="s">
        <v>2037</v>
      </c>
      <c r="N11" s="2498"/>
      <c r="O11" s="1631"/>
      <c r="P11" s="1631"/>
      <c r="Q11" s="1616">
        <v>42</v>
      </c>
    </row>
    <row s="1826" customFormat="1" customHeight="1" ht="29.25">
      <c r="A12" s="1162"/>
      <c r="B12" s="1167"/>
      <c r="C12" s="1162"/>
      <c r="D12" s="1502"/>
      <c r="E12" s="2485"/>
      <c r="F12" s="2499"/>
      <c r="G12" s="1916" t="s">
        <v>2038</v>
      </c>
      <c r="H12" s="1916" t="s">
        <v>471</v>
      </c>
      <c r="I12" s="2499"/>
      <c r="J12" s="2499"/>
      <c r="K12" s="2499"/>
      <c r="L12" s="2499"/>
      <c r="M12" s="2487"/>
      <c r="N12" s="2486"/>
      <c r="O12" s="507"/>
      <c r="P12" s="507"/>
      <c r="Q12" s="514">
        <v>28</v>
      </c>
    </row>
    <row s="1857" customFormat="1" customHeight="1" ht="23.25">
      <c r="A13" s="2106">
        <v>26379339</v>
      </c>
      <c r="B13" s="1167">
        <v>1</v>
      </c>
      <c r="C13" s="1167"/>
      <c r="D13" s="808"/>
      <c r="E13" s="2134">
        <v>1</v>
      </c>
      <c r="F13" s="2493" t="str">
        <f>IF(region_name="","",region_name)</f>
        <v>Белгородская область</v>
      </c>
      <c r="G13" s="2494"/>
      <c r="H13" s="2501"/>
      <c r="I13" s="481"/>
      <c r="J13" s="1912">
        <v>1</v>
      </c>
      <c r="K13" s="1925"/>
      <c r="L13" s="1926"/>
      <c r="M13" s="1926"/>
      <c r="N13" s="2495" t="s">
        <v>2039</v>
      </c>
      <c r="O13" s="1542"/>
      <c r="P13" s="518"/>
      <c r="Q13" s="430">
        <v>22</v>
      </c>
    </row>
    <row s="1857" customFormat="1" customHeight="1" ht="23.25">
      <c r="A14" s="2106"/>
      <c r="B14" s="1167"/>
      <c r="C14" s="1167"/>
      <c r="D14" s="808"/>
      <c r="E14" s="2134"/>
      <c r="F14" s="2493"/>
      <c r="G14" s="2494"/>
      <c r="H14" s="2502"/>
      <c r="I14" s="428"/>
      <c r="J14" s="1507"/>
      <c r="K14" s="1507" t="s">
        <v>2033</v>
      </c>
      <c r="L14" s="1550"/>
      <c r="M14" s="1550"/>
      <c r="N14" s="2496"/>
      <c r="O14" s="1542"/>
      <c r="P14" s="518"/>
      <c r="Q14" s="430">
        <v>22</v>
      </c>
    </row>
    <row s="1857" customFormat="1" customHeight="1" ht="23.25">
      <c r="A15" s="2106"/>
      <c r="B15" s="1167"/>
      <c r="C15" s="419"/>
      <c r="D15" s="808"/>
      <c r="E15" s="428"/>
      <c r="F15" s="1507" t="s">
        <v>2025</v>
      </c>
      <c r="G15" s="1549"/>
      <c r="H15" s="1549"/>
      <c r="I15" s="194"/>
      <c r="J15" s="194"/>
      <c r="K15" s="194"/>
      <c r="L15" s="194"/>
      <c r="M15" s="194"/>
      <c r="N15" s="2496"/>
      <c r="O15" s="1543"/>
      <c r="P15" s="518"/>
      <c r="Q15" s="430">
        <v>22</v>
      </c>
    </row>
    <row s="1826" customFormat="1" customHeight="1" ht="22.049999999999997">
      <c r="A16" s="1162"/>
      <c r="B16" s="1167"/>
      <c r="C16" s="1162"/>
      <c r="D16" s="458"/>
      <c r="E16" s="187"/>
      <c r="F16" s="187"/>
      <c r="G16" s="187"/>
      <c r="H16" s="187"/>
      <c r="I16" s="187"/>
      <c r="J16" s="187"/>
      <c r="K16" s="187"/>
      <c r="L16" s="187"/>
      <c r="M16" s="516"/>
      <c r="N16" s="1642"/>
      <c r="O16" s="507"/>
      <c r="P16" s="507"/>
      <c r="Q16" s="514">
        <v>21</v>
      </c>
    </row>
    <row s="1826" customFormat="1" customHeight="1" ht="14.699999999999998">
      <c r="A17" s="1162"/>
      <c r="B17" s="1167"/>
      <c r="C17" s="1162"/>
      <c r="D17" s="458"/>
      <c r="E17" s="1162"/>
      <c r="F17" s="1162"/>
      <c r="G17" s="1162"/>
      <c r="H17" s="1162"/>
      <c r="I17" s="1162"/>
      <c r="J17" s="1162"/>
      <c r="K17" s="1162"/>
      <c r="L17" s="1162"/>
      <c r="M17" s="1162"/>
      <c r="N17" s="1638"/>
      <c r="O17" s="507"/>
      <c r="P17" s="507"/>
      <c r="Q17" s="514">
        <v>14</v>
      </c>
    </row>
    <row s="1826" customFormat="1" customHeight="1" ht="1.05">
      <c r="A18" s="1162"/>
      <c r="B18" s="1167"/>
      <c r="C18" s="1162"/>
      <c r="D18" s="458"/>
      <c r="E18" s="1162"/>
      <c r="F18" s="1162"/>
      <c r="G18" s="1162"/>
      <c r="H18" s="1162"/>
      <c r="I18" s="1162"/>
      <c r="J18" s="1162"/>
      <c r="K18" s="1162"/>
      <c r="L18" s="1162"/>
      <c r="M18" s="1162"/>
      <c r="N18" s="1638"/>
      <c r="O18" s="507"/>
      <c r="P18" s="507"/>
      <c r="Q18" s="514">
        <v>1</v>
      </c>
    </row>
    <row customHeight="1" ht="22.5" hidden="1">
      <c r="A19" s="1162" t="s">
        <v>82</v>
      </c>
      <c r="B19" s="1167">
        <v>0</v>
      </c>
      <c r="C19" s="1162">
        <v>0</v>
      </c>
      <c r="D19" s="458">
        <v>3</v>
      </c>
      <c r="E19" s="1162">
        <v>6</v>
      </c>
      <c r="F19" s="1162">
        <v>27</v>
      </c>
      <c r="G19" s="1162">
        <v>29</v>
      </c>
      <c r="H19" s="1162">
        <v>25</v>
      </c>
      <c r="I19" s="1162">
        <v>5</v>
      </c>
      <c r="J19" s="1162">
        <v>6</v>
      </c>
      <c r="K19" s="1162">
        <v>41</v>
      </c>
      <c r="L19" s="1162">
        <v>42</v>
      </c>
      <c r="M19" s="1162">
        <v>41</v>
      </c>
      <c r="N19" s="1638">
        <v>89</v>
      </c>
      <c r="O19" s="507">
        <v>3</v>
      </c>
      <c r="P19" s="507">
        <v>8</v>
      </c>
      <c r="Q19" s="1162">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00EF23-365D-EC5E-5122-06AF6564F418}"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5" width="9.140625" hidden="1"/>
    <col min="2" max="2" style="1830" width="9.140625" hidden="1"/>
    <col min="3" max="3" style="127" width="3.00390625" customWidth="1"/>
    <col min="4" max="4" style="1830" width="6.00390625" customWidth="1"/>
    <col min="5" max="5" style="1830" width="22.00390625" customWidth="1"/>
    <col min="6" max="6" style="1830" width="15.00390625" customWidth="1"/>
    <col min="7" max="7" style="1830" width="14.00390625" customWidth="1"/>
    <col min="8" max="8" style="1830" width="47.00390625" customWidth="1"/>
    <col min="9" max="9" style="1830" width="115.00390625" customWidth="1"/>
    <col min="10" max="10" style="1830" width="3.00390625" customWidth="1"/>
    <col min="11" max="12" style="1830" width="8.00390625" customWidth="1"/>
    <col min="13" max="13" style="1830" width="9.140625" hidden="1"/>
  </cols>
  <sheetData>
    <row customHeight="1" ht="14.25" hidden="1">
      <c r="M1" s="128" t="s">
        <v>14</v>
      </c>
    </row>
    <row customHeight="1" ht="14.25" hidden="1">
      <c r="M2" s="128">
        <v>0</v>
      </c>
    </row>
    <row customHeight="1" ht="14.25" hidden="1">
      <c r="M3" s="128">
        <v>0</v>
      </c>
    </row>
    <row customHeight="1" ht="3">
      <c r="M4" s="128">
        <v>3</v>
      </c>
    </row>
    <row s="1642" customFormat="1" customHeight="1" ht="31.5">
      <c r="A5" s="122"/>
      <c r="C5" s="97"/>
      <c r="D5" s="2107" t="s">
        <v>2040</v>
      </c>
      <c r="E5" s="2107"/>
      <c r="F5" s="2107"/>
      <c r="G5" s="2107"/>
      <c r="H5" s="2107"/>
      <c r="I5" s="272"/>
      <c r="M5" s="90">
        <v>30</v>
      </c>
    </row>
    <row customHeight="1" ht="3" hidden="1">
      <c r="D6" s="129"/>
      <c r="E6" s="129"/>
      <c r="F6" s="129"/>
      <c r="G6" s="129"/>
      <c r="H6" s="129"/>
      <c r="I6" s="129"/>
      <c r="M6" s="128">
        <v>0</v>
      </c>
    </row>
    <row s="365" customFormat="1" customHeight="1" ht="14.699999999999998">
      <c r="B7" s="126"/>
      <c r="C7" s="127"/>
      <c r="D7" s="130"/>
      <c r="E7" s="130"/>
      <c r="F7" s="130"/>
      <c r="G7" s="130"/>
      <c r="H7" s="759"/>
      <c r="I7" s="130"/>
      <c r="J7" s="131"/>
      <c r="M7" s="125">
        <v>14</v>
      </c>
    </row>
    <row customHeight="1" ht="14.699999999999998">
      <c r="D8" s="2216" t="s">
        <v>463</v>
      </c>
      <c r="E8" s="2216"/>
      <c r="F8" s="2216"/>
      <c r="G8" s="2216"/>
      <c r="H8" s="2216"/>
      <c r="I8" s="2216" t="s">
        <v>464</v>
      </c>
      <c r="M8" s="128">
        <v>14</v>
      </c>
    </row>
    <row customHeight="1" ht="29.25">
      <c r="D9" s="2216" t="s">
        <v>88</v>
      </c>
      <c r="E9" s="2216" t="s">
        <v>2041</v>
      </c>
      <c r="F9" s="2216"/>
      <c r="G9" s="2216"/>
      <c r="H9" s="2216"/>
      <c r="I9" s="2216"/>
      <c r="M9" s="128">
        <v>28</v>
      </c>
    </row>
    <row customHeight="1" ht="24">
      <c r="D10" s="2216"/>
      <c r="E10" s="134" t="s">
        <v>2042</v>
      </c>
      <c r="F10" s="134" t="s">
        <v>2043</v>
      </c>
      <c r="G10" s="134" t="s">
        <v>2044</v>
      </c>
      <c r="H10" s="134" t="s">
        <v>553</v>
      </c>
      <c r="I10" s="2216"/>
      <c r="M10" s="128">
        <v>23</v>
      </c>
    </row>
    <row customHeight="1" ht="12" hidden="1">
      <c r="D11" s="94" t="s">
        <v>108</v>
      </c>
      <c r="E11" s="94" t="s">
        <v>91</v>
      </c>
      <c r="F11" s="94" t="s">
        <v>119</v>
      </c>
      <c r="G11" s="94" t="s">
        <v>92</v>
      </c>
      <c r="H11" s="94" t="s">
        <v>93</v>
      </c>
      <c r="I11" s="94" t="s">
        <v>132</v>
      </c>
      <c r="M11" s="128">
        <v>0</v>
      </c>
    </row>
    <row s="1830" customFormat="1" customHeight="1" ht="26.25">
      <c r="A12" s="152" t="s">
        <v>90</v>
      </c>
      <c r="B12" s="132" t="s">
        <v>28</v>
      </c>
      <c r="C12" s="133"/>
      <c r="D12" s="135" t="s">
        <v>108</v>
      </c>
      <c r="E12" s="388"/>
      <c r="F12" s="388"/>
      <c r="G12" s="1741" t="s">
        <v>28</v>
      </c>
      <c r="H12" s="389"/>
      <c r="I12" s="2176" t="s">
        <v>2045</v>
      </c>
      <c r="K12" s="279"/>
      <c r="L12" s="280"/>
      <c r="M12" s="124">
        <v>25</v>
      </c>
    </row>
    <row customHeight="1" ht="15.75">
      <c r="A13" s="128"/>
      <c r="B13" s="128"/>
      <c r="C13" s="128"/>
      <c r="D13" s="116"/>
      <c r="E13" s="137" t="s">
        <v>628</v>
      </c>
      <c r="F13" s="136"/>
      <c r="G13" s="136"/>
      <c r="H13" s="221"/>
      <c r="I13" s="2178"/>
      <c r="M13" s="128">
        <v>15</v>
      </c>
    </row>
    <row customHeight="1" ht="3">
      <c r="A14" s="128"/>
      <c r="B14" s="128"/>
      <c r="C14" s="128"/>
      <c r="M14" s="128">
        <v>3</v>
      </c>
    </row>
    <row customHeight="1" ht="29.25">
      <c r="E15" s="2503" t="s">
        <v>2046</v>
      </c>
      <c r="F15" s="2503"/>
      <c r="G15" s="2503"/>
      <c r="H15" s="2503"/>
      <c r="M15" s="128">
        <v>28</v>
      </c>
    </row>
    <row customHeight="1" ht="14.25" hidden="1">
      <c r="A16" s="125" t="s">
        <v>82</v>
      </c>
      <c r="B16" s="126">
        <v>0</v>
      </c>
      <c r="C16" s="127">
        <v>3</v>
      </c>
      <c r="D16" s="128">
        <v>6</v>
      </c>
      <c r="E16" s="128">
        <v>22</v>
      </c>
      <c r="F16" s="128">
        <v>15</v>
      </c>
      <c r="G16" s="128">
        <v>14</v>
      </c>
      <c r="H16" s="128">
        <v>47</v>
      </c>
      <c r="I16" s="128">
        <v>115</v>
      </c>
      <c r="J16" s="128">
        <v>3</v>
      </c>
      <c r="K16" s="128">
        <v>8</v>
      </c>
      <c r="L16" s="128">
        <v>8</v>
      </c>
      <c r="M16" s="128">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3F8154-9DA9-AF26-2EF1-3E3E7367E56C}"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E12" sqref="E12"/>
    </sheetView>
  </sheetViews>
  <sheetFormatPr defaultColWidth="9.140625" customHeight="1" defaultRowHeight="14.25"/>
  <cols>
    <col min="1" max="2" style="271" width="9.140625" hidden="1"/>
    <col min="3" max="3" style="98" width="3.00390625" customWidth="1"/>
    <col min="4" max="4" style="271" width="6.00390625" customWidth="1"/>
    <col min="5" max="5" style="271" width="94.00390625" customWidth="1"/>
    <col min="6" max="9" style="271" width="8.00390625" customWidth="1"/>
    <col min="10" max="10" style="271" width="9.140625" hidden="1"/>
  </cols>
  <sheetData>
    <row customHeight="1" ht="14.25" hidden="1">
      <c r="J1" s="76" t="s">
        <v>14</v>
      </c>
    </row>
    <row customHeight="1" ht="14.25" hidden="1">
      <c r="J2" s="76">
        <v>0</v>
      </c>
    </row>
    <row customHeight="1" ht="14.25" hidden="1">
      <c r="J3" s="76">
        <v>0</v>
      </c>
    </row>
    <row customHeight="1" ht="14.25" hidden="1">
      <c r="J4" s="76">
        <v>0</v>
      </c>
    </row>
    <row customHeight="1" ht="14.25" hidden="1">
      <c r="J5" s="76">
        <v>0</v>
      </c>
    </row>
    <row customHeight="1" ht="3">
      <c r="C6" s="99"/>
      <c r="D6" s="77"/>
      <c r="E6" s="77"/>
      <c r="J6" s="76">
        <v>3</v>
      </c>
    </row>
    <row customHeight="1" ht="23.25">
      <c r="C7" s="99"/>
      <c r="D7" s="2504" t="s">
        <v>2047</v>
      </c>
      <c r="E7" s="2505"/>
      <c r="F7" s="274"/>
      <c r="J7" s="76">
        <v>22</v>
      </c>
    </row>
    <row customHeight="1" ht="3">
      <c r="C8" s="99"/>
      <c r="D8" s="77"/>
      <c r="E8" s="77"/>
      <c r="J8" s="76">
        <v>3</v>
      </c>
    </row>
    <row customHeight="1" ht="16.8">
      <c r="C9" s="99"/>
      <c r="D9" s="112" t="s">
        <v>88</v>
      </c>
      <c r="E9" s="267" t="s">
        <v>2048</v>
      </c>
      <c r="J9" s="76">
        <v>16</v>
      </c>
    </row>
    <row customHeight="1" ht="1.05">
      <c r="C10" s="99"/>
      <c r="D10" s="94"/>
      <c r="E10" s="94"/>
      <c r="J10" s="76">
        <v>1</v>
      </c>
    </row>
    <row customHeight="1" ht="11.25" hidden="1">
      <c r="C11" s="99"/>
      <c r="D11" s="157">
        <v>0</v>
      </c>
      <c r="E11" s="268"/>
      <c r="J11" s="76">
        <v>0</v>
      </c>
    </row>
    <row customHeight="1" ht="15.75">
      <c r="C12" s="143"/>
      <c r="D12" s="120">
        <v>1</v>
      </c>
      <c r="E12" s="384" t="s">
        <v>1313</v>
      </c>
      <c r="J12" s="76">
        <v>15</v>
      </c>
    </row>
    <row customHeight="1" ht="12.75">
      <c r="C13" s="99"/>
      <c r="D13" s="269"/>
      <c r="E13" s="270" t="s">
        <v>2049</v>
      </c>
      <c r="J13" s="76">
        <v>12</v>
      </c>
    </row>
    <row customHeight="1" ht="3">
      <c r="J14" s="76">
        <v>3</v>
      </c>
    </row>
    <row customHeight="1" ht="23.25">
      <c r="C15" s="144"/>
      <c r="D15" s="2506" t="s">
        <v>2050</v>
      </c>
      <c r="E15" s="2506"/>
      <c r="F15" s="145"/>
      <c r="G15" s="145"/>
      <c r="H15" s="145"/>
      <c r="I15" s="145"/>
      <c r="J15" s="76">
        <v>22</v>
      </c>
    </row>
    <row customHeight="1" ht="14.25" hidden="1">
      <c r="A16" s="76" t="s">
        <v>82</v>
      </c>
      <c r="B16" s="76">
        <v>0</v>
      </c>
      <c r="C16" s="98">
        <v>3</v>
      </c>
      <c r="D16" s="76">
        <v>6</v>
      </c>
      <c r="E16" s="76">
        <v>94</v>
      </c>
      <c r="F16" s="76">
        <v>8</v>
      </c>
      <c r="G16" s="76">
        <v>8</v>
      </c>
      <c r="H16" s="76">
        <v>8</v>
      </c>
      <c r="I16" s="76">
        <v>8</v>
      </c>
      <c r="J16" s="76">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9D77D1-17B4-A1B9-AE93-987FDCC46F35}"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71" width="9.140625" hidden="1"/>
    <col min="3" max="3" style="98" width="3.00390625" customWidth="1"/>
    <col min="4" max="4" style="271" width="6.00390625" customWidth="1"/>
    <col min="5" max="5" style="271" width="94.00390625" customWidth="1"/>
    <col min="6" max="12" style="271" width="8.00390625" customWidth="1"/>
    <col min="13" max="13" style="271" width="9.140625" hidden="1"/>
  </cols>
  <sheetData>
    <row customHeight="1" ht="14.25" hidden="1">
      <c r="L1" s="271"/>
      <c r="M1" s="76" t="s">
        <v>14</v>
      </c>
    </row>
    <row customHeight="1" ht="14.25" hidden="1">
      <c r="M2" s="76">
        <v>0</v>
      </c>
    </row>
    <row customHeight="1" ht="14.25" hidden="1">
      <c r="M3" s="76">
        <v>0</v>
      </c>
    </row>
    <row customHeight="1" ht="14.25" hidden="1">
      <c r="M4" s="76">
        <v>0</v>
      </c>
    </row>
    <row customHeight="1" ht="14.25" hidden="1">
      <c r="M5" s="76">
        <v>0</v>
      </c>
    </row>
    <row customHeight="1" ht="3">
      <c r="C6" s="99"/>
      <c r="D6" s="77"/>
      <c r="E6" s="77"/>
      <c r="M6" s="76">
        <v>3</v>
      </c>
    </row>
    <row customHeight="1" ht="23.25">
      <c r="C7" s="99"/>
      <c r="D7" s="2107" t="s">
        <v>2051</v>
      </c>
      <c r="E7" s="2107"/>
      <c r="F7" s="274"/>
      <c r="M7" s="76">
        <v>22</v>
      </c>
    </row>
    <row customHeight="1" ht="3">
      <c r="C8" s="99"/>
      <c r="D8" s="77"/>
      <c r="E8" s="77"/>
      <c r="M8" s="76">
        <v>3</v>
      </c>
    </row>
    <row customHeight="1" ht="16.8">
      <c r="C9" s="99"/>
      <c r="D9" s="112" t="s">
        <v>88</v>
      </c>
      <c r="E9" s="115" t="s">
        <v>450</v>
      </c>
      <c r="M9" s="76">
        <v>16</v>
      </c>
    </row>
    <row customHeight="1" ht="12.75">
      <c r="C10" s="99"/>
      <c r="D10" s="94" t="s">
        <v>108</v>
      </c>
      <c r="E10" s="94" t="s">
        <v>99</v>
      </c>
      <c r="M10" s="76">
        <v>12</v>
      </c>
    </row>
    <row customHeight="1" ht="15" hidden="1">
      <c r="C11" s="99"/>
      <c r="D11" s="120">
        <v>0</v>
      </c>
      <c r="E11" s="156"/>
      <c r="M11" s="76">
        <v>0</v>
      </c>
    </row>
    <row customHeight="1" ht="14.699999999999998">
      <c r="C12" s="99"/>
      <c r="D12" s="116"/>
      <c r="E12" s="114" t="s">
        <v>2049</v>
      </c>
      <c r="M12" s="76">
        <v>14</v>
      </c>
    </row>
    <row customHeight="1" ht="14.25" hidden="1">
      <c r="A13" s="76" t="s">
        <v>82</v>
      </c>
      <c r="B13" s="76">
        <v>0</v>
      </c>
      <c r="C13" s="98">
        <v>3</v>
      </c>
      <c r="D13" s="76">
        <v>6</v>
      </c>
      <c r="E13" s="76">
        <v>94</v>
      </c>
      <c r="F13" s="76">
        <v>8</v>
      </c>
      <c r="G13" s="76">
        <v>8</v>
      </c>
      <c r="H13" s="76">
        <v>8</v>
      </c>
      <c r="I13" s="76">
        <v>8</v>
      </c>
      <c r="J13" s="76">
        <v>8</v>
      </c>
      <c r="K13" s="76">
        <v>8</v>
      </c>
      <c r="L13" s="76">
        <v>8</v>
      </c>
      <c r="M13" s="76">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4E50E8-F9DC-9786-90EC-3931ADEE1CFB}"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7" width="1.7109375" customWidth="1"/>
    <col min="2" max="2" style="1857" width="34.57421875" customWidth="1"/>
    <col min="3" max="3" style="1857" width="85.00390625" customWidth="1"/>
    <col min="4" max="4" style="1857" width="17.00390625" customWidth="1"/>
    <col min="5" max="5" style="1857" width="8.00390625" customWidth="1"/>
    <col min="6" max="6" style="1857" width="9.140625" hidden="1"/>
  </cols>
  <sheetData>
    <row customHeight="1" ht="3">
      <c r="F1" s="96" t="s">
        <v>14</v>
      </c>
    </row>
    <row customHeight="1" ht="22.5">
      <c r="B2" s="2620" t="s">
        <v>2052</v>
      </c>
      <c r="C2" s="2507"/>
      <c r="D2" s="2507"/>
      <c r="E2" s="275"/>
      <c r="F2" s="96">
        <v>22</v>
      </c>
    </row>
    <row customHeight="1" ht="3">
      <c r="F3" s="96">
        <v>3</v>
      </c>
    </row>
    <row customHeight="1" ht="23.25">
      <c r="B4" s="2621" t="s">
        <v>2053</v>
      </c>
      <c r="C4" s="390" t="s">
        <v>2054</v>
      </c>
      <c r="D4" s="390" t="s">
        <v>2055</v>
      </c>
      <c r="F4" s="96">
        <v>22</v>
      </c>
    </row>
    <row customHeight="1" ht="11.25" hidden="1">
      <c r="A5" s="96" t="s">
        <v>82</v>
      </c>
      <c r="B5" s="96">
        <v>34</v>
      </c>
      <c r="C5" s="96">
        <v>85</v>
      </c>
      <c r="D5" s="96">
        <v>17</v>
      </c>
      <c r="E5" s="96">
        <v>8</v>
      </c>
      <c r="F5" s="96">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E40C84-59AB-9901-3958-31CC4CCE192A}"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7" width="26.57421875" customWidth="1"/>
    <col min="2" max="2" style="1857" width="10.00390625" customWidth="1"/>
    <col min="3" max="3" style="1857" width="9.140625"/>
    <col min="4" max="4" style="1857" width="11.140625" customWidth="1"/>
    <col min="5" max="5" style="1857" width="16.57421875" customWidth="1"/>
    <col min="6" max="6" style="1857" width="16.28125" customWidth="1"/>
    <col min="7" max="7" style="1857" width="19.140625" customWidth="1"/>
    <col min="8" max="11" style="1857" width="10.00390625" customWidth="1"/>
    <col min="12" max="12" style="1857" width="12.7109375" customWidth="1"/>
    <col min="13" max="13" style="1857" width="61.28125" customWidth="1"/>
    <col min="14" max="14" style="1857" width="10.00390625" customWidth="1"/>
    <col min="15" max="17" style="1857" width="23.7109375" customWidth="1"/>
    <col min="18" max="18" style="1857" width="11.7109375" customWidth="1"/>
    <col min="19" max="19" style="1857" width="8.57421875" customWidth="1"/>
    <col min="20" max="20" style="1857" width="11.7109375" customWidth="1"/>
    <col min="21" max="21" style="1857" width="8.57421875" customWidth="1"/>
    <col min="22" max="22" style="1857" width="4.7109375" customWidth="1"/>
    <col min="23" max="23" style="1857" width="115.7109375" customWidth="1"/>
    <col min="24" max="24" style="1857" width="115.28125" customWidth="1"/>
    <col min="25" max="27" style="1857" width="9.140625"/>
    <col min="28" max="28" style="1857" width="115.7109375" customWidth="1"/>
    <col min="29" max="29" style="1857" width="9.140625"/>
    <col min="30" max="90" style="1857" width="115.7109375" customWidth="1"/>
    <col min="91" max="184" style="1857" width="9.140625"/>
  </cols>
  <sheetData>
    <row r="2" s="1822" customFormat="1" customHeight="1" ht="17.25">
      <c r="A2" s="1822" t="s">
        <v>2056</v>
      </c>
    </row>
    <row r="4" s="271" customFormat="1" customHeight="1" ht="15">
      <c r="C4" s="1823"/>
      <c r="D4" s="120"/>
      <c r="E4" s="384"/>
    </row>
    <row r="6" s="1822" customFormat="1" customHeight="1" ht="17.25">
      <c r="A6" s="1822" t="s">
        <v>2057</v>
      </c>
    </row>
    <row r="8" s="271" customFormat="1" customHeight="1" ht="17.25">
      <c r="C8" s="1824"/>
      <c r="D8" s="120"/>
      <c r="E8" s="121"/>
    </row>
    <row r="11" s="1822" customFormat="1" customHeight="1" ht="17.25">
      <c r="A11" s="1822" t="s">
        <v>2058</v>
      </c>
    </row>
    <row r="13" s="1826" customFormat="1" customHeight="1" ht="15">
      <c r="A13" s="2224">
        <v>1</v>
      </c>
      <c r="B13" s="1167"/>
      <c r="C13" s="808" t="s">
        <v>102</v>
      </c>
      <c r="D13" s="1825"/>
      <c r="E13" s="1812">
        <f>A13</f>
        <v>1</v>
      </c>
      <c r="F13" s="811"/>
      <c r="G13" s="547" t="str">
        <f>"Территория "&amp;E13</f>
        <v>Территория 1</v>
      </c>
      <c r="H13" s="799"/>
      <c r="I13" s="799"/>
      <c r="J13" s="796"/>
      <c r="K13" s="1631"/>
      <c r="L13" s="1631"/>
      <c r="M13" s="1631"/>
      <c r="N13" s="233"/>
      <c r="O13" s="1631"/>
      <c r="P13" s="232"/>
      <c r="Q13" s="232"/>
      <c r="R13" s="232"/>
      <c r="S13" s="232"/>
    </row>
    <row s="1857" customFormat="1" customHeight="1" ht="15">
      <c r="A14" s="2224"/>
      <c r="B14" s="1167">
        <v>1</v>
      </c>
      <c r="C14" s="1167"/>
      <c r="D14" s="807"/>
      <c r="E14" s="1820" t="str">
        <f>A13&amp;"."&amp;B14</f>
        <v>1.1</v>
      </c>
      <c r="F14" s="810">
        <f>$F$20</f>
        <v>0</v>
      </c>
      <c r="G14" s="800"/>
      <c r="H14" s="800"/>
      <c r="I14" s="798"/>
      <c r="J14" s="1631"/>
      <c r="K14" s="1643"/>
      <c r="L14" s="1643"/>
      <c r="M14" s="1631" t="str">
        <f t="array" ref="M14:M14">IF(ISERROR(MATCH(MID(N14,1,250),MID(note_ter,1,250),0)),"n","y")</f>
        <v>n</v>
      </c>
      <c r="N14" s="1643"/>
      <c r="O14" s="1631" t="str">
        <f>H14&amp;"("&amp;I14&amp;")"</f>
        <v>()</v>
      </c>
      <c r="P14" s="1167"/>
      <c r="Q14" s="1167"/>
      <c r="R14" s="427"/>
      <c r="S14" s="1167"/>
      <c r="T14" s="1167"/>
      <c r="U14" s="1167"/>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1857" customFormat="1" customHeight="1" ht="15">
      <c r="A15" s="2224"/>
      <c r="B15" s="1167"/>
      <c r="C15" s="419"/>
      <c r="D15" s="808"/>
      <c r="E15" s="428"/>
      <c r="F15" s="184"/>
      <c r="G15" s="422" t="s">
        <v>106</v>
      </c>
      <c r="H15" s="194"/>
      <c r="I15" s="431"/>
      <c r="J15" s="1643"/>
      <c r="K15" s="1643"/>
      <c r="L15" s="1643"/>
      <c r="M15" s="1643"/>
      <c r="N15" s="1631"/>
      <c r="O15" s="1643"/>
      <c r="P15" s="1167"/>
      <c r="Q15" s="1167"/>
      <c r="R15" s="427"/>
      <c r="S15" s="1167"/>
      <c r="T15" s="1167"/>
      <c r="U15" s="1167"/>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1822" customFormat="1" customHeight="1" ht="17.25">
      <c r="A17" s="1822" t="s">
        <v>2059</v>
      </c>
    </row>
    <row r="19" s="1857" customFormat="1" customHeight="1" ht="15">
      <c r="A19" s="1889"/>
      <c r="B19" s="1373">
        <v>1</v>
      </c>
      <c r="C19" s="1373"/>
      <c r="D19" s="807" t="s">
        <v>102</v>
      </c>
      <c r="E19" s="1885"/>
      <c r="F19" s="1890">
        <f>$F$20</f>
        <v>0</v>
      </c>
      <c r="G19" s="1894"/>
      <c r="H19" s="1894"/>
      <c r="I19" s="1892"/>
      <c r="J19" s="1631"/>
      <c r="K19" s="1643"/>
      <c r="L19" s="1643"/>
      <c r="M19" s="1631" t="str">
        <f t="array" ref="M19:M19">IF(ISERROR(MATCH(MID(N19,1,250),MID(note_ter,1,250),0)),"n","y")</f>
        <v>n</v>
      </c>
      <c r="N19" s="1643"/>
      <c r="O19" s="1631" t="str">
        <f>H19&amp;"("&amp;I19&amp;")"</f>
        <v>()</v>
      </c>
      <c r="P19" s="1373"/>
      <c r="Q19" s="1373"/>
      <c r="R19" s="427"/>
      <c r="S19" s="1373"/>
      <c r="T19" s="1373"/>
      <c r="U19" s="1373"/>
      <c r="V19" s="840"/>
      <c r="W19" s="840"/>
      <c r="X19" s="634"/>
      <c r="Y19" s="634"/>
      <c r="Z19" s="634"/>
      <c r="AA19" s="634"/>
      <c r="AB19" s="634"/>
      <c r="AC19" s="634"/>
      <c r="AD19" s="634"/>
      <c r="AE19" s="634"/>
      <c r="AF19" s="634"/>
      <c r="AG19" s="634"/>
      <c r="AH19" s="634"/>
      <c r="AI19" s="634"/>
      <c r="AJ19" s="634"/>
      <c r="AK19" s="634"/>
      <c r="AL19" s="634"/>
      <c r="AM19" s="634"/>
      <c r="AN19" s="634"/>
      <c r="AO19" s="634"/>
      <c r="AP19" s="634"/>
      <c r="AQ19" s="634"/>
      <c r="AR19" s="634"/>
      <c r="AS19" s="634"/>
      <c r="AT19" s="634"/>
      <c r="AU19" s="634"/>
      <c r="AV19" s="634"/>
      <c r="AW19" s="634"/>
      <c r="AX19" s="634"/>
      <c r="AY19" s="634"/>
      <c r="AZ19" s="634"/>
      <c r="BA19" s="634"/>
      <c r="BB19" s="634"/>
      <c r="BC19" s="634"/>
      <c r="BD19" s="634"/>
      <c r="BE19" s="634"/>
      <c r="BF19" s="634"/>
      <c r="BG19" s="634"/>
      <c r="BH19" s="634"/>
      <c r="BI19" s="634"/>
      <c r="BJ19" s="634"/>
      <c r="BK19" s="634"/>
      <c r="BL19" s="634"/>
      <c r="BM19" s="634"/>
      <c r="BN19" s="634"/>
      <c r="BO19" s="634"/>
      <c r="BP19" s="634"/>
      <c r="BQ19" s="634"/>
      <c r="BR19" s="634"/>
      <c r="BS19" s="840"/>
      <c r="BT19" s="840"/>
      <c r="BU19" s="840"/>
      <c r="BV19" s="840"/>
      <c r="BW19" s="840"/>
      <c r="BX19" s="840"/>
      <c r="BY19" s="840"/>
      <c r="BZ19" s="840"/>
      <c r="CA19" s="840"/>
      <c r="CB19" s="840"/>
    </row>
    <row r="21" s="1857" customFormat="1" customHeight="1" ht="15">
      <c r="A21" s="1822" t="s">
        <v>2060</v>
      </c>
      <c r="B21" s="1822"/>
      <c r="C21" s="1822"/>
      <c r="D21" s="1822"/>
      <c r="E21" s="1822"/>
      <c r="F21" s="1822"/>
      <c r="G21" s="1822"/>
      <c r="H21" s="1822"/>
      <c r="I21" s="1822"/>
      <c r="J21" s="1822"/>
      <c r="K21" s="1822"/>
      <c r="L21" s="1822"/>
      <c r="M21" s="1822"/>
      <c r="N21" s="1822"/>
      <c r="O21" s="1822"/>
      <c r="P21" s="1822"/>
      <c r="Q21" s="1822"/>
      <c r="R21" s="1822"/>
      <c r="S21" s="1822"/>
      <c r="T21" s="1822"/>
      <c r="U21" s="191"/>
      <c r="V21" s="1822"/>
      <c r="W21" s="1822"/>
    </row>
    <row s="1857" customFormat="1" customHeight="1" ht="15">
      <c r="U22" s="192"/>
    </row>
    <row s="1860" customFormat="1" customHeight="1" ht="15">
      <c r="A23" s="430"/>
      <c r="B23" s="430"/>
      <c r="C23" s="1735" t="s">
        <v>102</v>
      </c>
      <c r="D23" s="2115" t="s">
        <v>108</v>
      </c>
      <c r="E23" s="2116"/>
      <c r="F23" s="2114" t="s">
        <v>19</v>
      </c>
      <c r="G23" s="2564"/>
      <c r="H23" s="2134">
        <v>1</v>
      </c>
      <c r="I23" s="2566" t="str">
        <f>IF(U23="","",INDEX(TERRITORY_MR_LIST,MATCH(U23,TERRITORY_LIST_ID,0)))</f>
        <v/>
      </c>
      <c r="J23" s="2114" t="s">
        <v>19</v>
      </c>
      <c r="K23" s="839"/>
      <c r="L23" s="1789" t="s">
        <v>108</v>
      </c>
      <c r="M23" s="610"/>
      <c r="N23" s="611"/>
      <c r="O23" s="611"/>
      <c r="P23" s="611"/>
      <c r="Q23" s="611"/>
      <c r="R23" s="611"/>
      <c r="S23" s="611"/>
      <c r="T23" s="611"/>
      <c r="U23" s="612"/>
      <c r="V23" s="611"/>
      <c r="W23" s="611"/>
      <c r="X23" s="602"/>
      <c r="Y23" s="602" t="s">
        <v>210</v>
      </c>
      <c r="Z23" s="602">
        <v>1705000</v>
      </c>
      <c r="AA23" s="602"/>
      <c r="AB23" s="602"/>
      <c r="AC23" s="602"/>
      <c r="AD23" s="602"/>
      <c r="AE23" s="602"/>
      <c r="AF23" s="602"/>
      <c r="AG23" s="602"/>
      <c r="AH23" s="602"/>
      <c r="AI23" s="602"/>
      <c r="AJ23" s="602"/>
      <c r="AK23" s="602"/>
      <c r="AL23" s="602"/>
    </row>
    <row s="1860" customFormat="1" customHeight="1" ht="15">
      <c r="A24" s="430"/>
      <c r="B24" s="430"/>
      <c r="C24" s="183"/>
      <c r="D24" s="2115"/>
      <c r="E24" s="2117"/>
      <c r="F24" s="2114"/>
      <c r="G24" s="2565"/>
      <c r="H24" s="2134"/>
      <c r="I24" s="2567"/>
      <c r="J24" s="2114"/>
      <c r="K24" s="428"/>
      <c r="L24" s="184"/>
      <c r="M24" s="614" t="s">
        <v>211</v>
      </c>
      <c r="N24" s="611"/>
      <c r="O24" s="611"/>
      <c r="P24" s="611"/>
      <c r="Q24" s="611"/>
      <c r="R24" s="611"/>
      <c r="S24" s="611"/>
      <c r="T24" s="611"/>
      <c r="U24" s="612"/>
      <c r="V24" s="611"/>
      <c r="W24" s="611"/>
      <c r="X24" s="602"/>
      <c r="Y24" s="602"/>
      <c r="Z24" s="602"/>
      <c r="AA24" s="602"/>
      <c r="AB24" s="602"/>
      <c r="AC24" s="602"/>
      <c r="AD24" s="602"/>
      <c r="AE24" s="602"/>
      <c r="AF24" s="602"/>
      <c r="AG24" s="602"/>
      <c r="AH24" s="602"/>
      <c r="AI24" s="602"/>
      <c r="AJ24" s="602"/>
      <c r="AK24" s="602"/>
      <c r="AL24" s="602"/>
    </row>
    <row s="1860" customFormat="1" customHeight="1" ht="15">
      <c r="A25" s="430"/>
      <c r="B25" s="430"/>
      <c r="C25" s="183"/>
      <c r="D25" s="2115"/>
      <c r="E25" s="2118"/>
      <c r="F25" s="2114"/>
      <c r="G25" s="428"/>
      <c r="H25" s="184"/>
      <c r="I25" s="587" t="s">
        <v>212</v>
      </c>
      <c r="J25" s="184"/>
      <c r="K25" s="184"/>
      <c r="L25" s="184"/>
      <c r="M25" s="615"/>
      <c r="N25" s="611"/>
      <c r="O25" s="611"/>
      <c r="P25" s="611"/>
      <c r="Q25" s="611"/>
      <c r="R25" s="611"/>
      <c r="S25" s="611"/>
      <c r="T25" s="611"/>
      <c r="U25" s="612"/>
      <c r="V25" s="611"/>
      <c r="W25" s="611"/>
      <c r="X25" s="602"/>
      <c r="Y25" s="602"/>
      <c r="Z25" s="602"/>
      <c r="AA25" s="602"/>
      <c r="AB25" s="602"/>
      <c r="AC25" s="602"/>
      <c r="AD25" s="602"/>
      <c r="AE25" s="602"/>
      <c r="AF25" s="602"/>
      <c r="AG25" s="602"/>
      <c r="AH25" s="602"/>
      <c r="AI25" s="602"/>
      <c r="AJ25" s="602"/>
      <c r="AK25" s="602"/>
      <c r="AL25" s="602"/>
    </row>
    <row s="1857" customFormat="1" customHeight="1" ht="15">
      <c r="U26" s="192"/>
    </row>
    <row s="1857" customFormat="1" customHeight="1" ht="15">
      <c r="A27" s="1822" t="s">
        <v>2061</v>
      </c>
      <c r="B27" s="1822"/>
      <c r="C27" s="1822"/>
      <c r="D27" s="1822"/>
      <c r="E27" s="1822"/>
      <c r="F27" s="1822"/>
      <c r="G27" s="1822"/>
      <c r="H27" s="1822"/>
      <c r="I27" s="1822"/>
      <c r="J27" s="1822"/>
      <c r="K27" s="1822"/>
      <c r="L27" s="1822"/>
      <c r="M27" s="1822"/>
      <c r="N27" s="1822"/>
      <c r="O27" s="1822"/>
      <c r="P27" s="1822"/>
      <c r="Q27" s="1822"/>
      <c r="R27" s="1822"/>
      <c r="S27" s="1822"/>
      <c r="T27" s="1822"/>
      <c r="U27" s="191"/>
      <c r="V27" s="1822"/>
      <c r="W27" s="1822"/>
    </row>
    <row s="1857" customFormat="1" customHeight="1" ht="15">
      <c r="U28" s="192"/>
    </row>
    <row s="1860" customFormat="1" customHeight="1" ht="15">
      <c r="A29" s="430"/>
      <c r="B29" s="430"/>
      <c r="C29" s="183"/>
      <c r="D29" s="1828"/>
      <c r="E29" s="1828"/>
      <c r="F29" s="1828"/>
      <c r="G29" s="2568" t="s">
        <v>102</v>
      </c>
      <c r="H29" s="2110">
        <v>1</v>
      </c>
      <c r="I29" s="2569" t="str">
        <f>IF(U29="","",INDEX(TERRITORY_MR_LIST,MATCH(U29,TERRITORY_LIST_ID,0)))</f>
        <v/>
      </c>
      <c r="J29" s="2114" t="s">
        <v>19</v>
      </c>
      <c r="K29" s="839"/>
      <c r="L29" s="1789" t="s">
        <v>108</v>
      </c>
      <c r="M29" s="610"/>
      <c r="N29" s="611"/>
      <c r="O29" s="611"/>
      <c r="P29" s="611"/>
      <c r="Q29" s="611"/>
      <c r="R29" s="611"/>
      <c r="S29" s="611"/>
      <c r="T29" s="611"/>
      <c r="U29" s="612"/>
      <c r="V29" s="611"/>
      <c r="W29" s="611"/>
      <c r="X29" s="602"/>
      <c r="Y29" s="602" t="s">
        <v>210</v>
      </c>
      <c r="Z29" s="602">
        <v>1705000</v>
      </c>
      <c r="AA29" s="602"/>
      <c r="AB29" s="602"/>
      <c r="AC29" s="602"/>
      <c r="AD29" s="602"/>
      <c r="AE29" s="602"/>
      <c r="AF29" s="602"/>
      <c r="AG29" s="602"/>
      <c r="AH29" s="602"/>
      <c r="AI29" s="602"/>
      <c r="AJ29" s="602"/>
      <c r="AK29" s="602"/>
      <c r="AL29" s="602"/>
    </row>
    <row s="1860" customFormat="1" customHeight="1" ht="15">
      <c r="A30" s="430"/>
      <c r="B30" s="430"/>
      <c r="C30" s="183"/>
      <c r="D30" s="1828"/>
      <c r="E30" s="1828"/>
      <c r="F30" s="1828"/>
      <c r="G30" s="2568"/>
      <c r="H30" s="2110"/>
      <c r="I30" s="2569"/>
      <c r="J30" s="2114"/>
      <c r="K30" s="428"/>
      <c r="L30" s="184"/>
      <c r="M30" s="614" t="s">
        <v>211</v>
      </c>
      <c r="N30" s="611"/>
      <c r="O30" s="611"/>
      <c r="P30" s="611"/>
      <c r="Q30" s="611"/>
      <c r="R30" s="611"/>
      <c r="S30" s="611"/>
      <c r="T30" s="611"/>
      <c r="U30" s="612"/>
      <c r="V30" s="611"/>
      <c r="W30" s="611"/>
      <c r="X30" s="602"/>
      <c r="Y30" s="602"/>
      <c r="Z30" s="602"/>
      <c r="AA30" s="602"/>
      <c r="AB30" s="602"/>
      <c r="AC30" s="602"/>
      <c r="AD30" s="602"/>
      <c r="AE30" s="602"/>
      <c r="AF30" s="602"/>
      <c r="AG30" s="602"/>
      <c r="AH30" s="602"/>
      <c r="AI30" s="602"/>
      <c r="AJ30" s="602"/>
      <c r="AK30" s="602"/>
      <c r="AL30" s="602"/>
    </row>
    <row s="1857" customFormat="1" customHeight="1" ht="15">
      <c r="U31" s="192"/>
    </row>
    <row s="1857" customFormat="1" customHeight="1" ht="15">
      <c r="A32" s="1822" t="s">
        <v>2062</v>
      </c>
      <c r="B32" s="1822"/>
      <c r="C32" s="1822"/>
      <c r="D32" s="1822"/>
      <c r="E32" s="1822"/>
      <c r="F32" s="1822"/>
      <c r="G32" s="1822"/>
      <c r="H32" s="1822"/>
      <c r="I32" s="1822"/>
      <c r="J32" s="1822"/>
      <c r="K32" s="1822"/>
      <c r="L32" s="1822"/>
      <c r="M32" s="1822"/>
      <c r="N32" s="1822"/>
      <c r="O32" s="1822"/>
      <c r="P32" s="1822"/>
      <c r="Q32" s="1822"/>
      <c r="R32" s="1822"/>
      <c r="S32" s="1822"/>
      <c r="T32" s="1822"/>
      <c r="U32" s="191"/>
      <c r="V32" s="1822"/>
      <c r="W32" s="1822"/>
    </row>
    <row s="1857" customFormat="1" customHeight="1" ht="15">
      <c r="U33" s="192"/>
    </row>
    <row s="1860" customFormat="1" customHeight="1" ht="15">
      <c r="A34" s="430"/>
      <c r="B34" s="430"/>
      <c r="C34" s="183"/>
      <c r="D34" s="1828"/>
      <c r="E34" s="1828"/>
      <c r="F34" s="1828"/>
      <c r="G34" s="1828"/>
      <c r="H34" s="1828"/>
      <c r="I34" s="1828"/>
      <c r="J34" s="1828"/>
      <c r="K34" s="1806" t="s">
        <v>102</v>
      </c>
      <c r="L34" s="1736" t="s">
        <v>108</v>
      </c>
      <c r="M34" s="818"/>
      <c r="N34" s="819"/>
      <c r="O34" s="611"/>
      <c r="P34" s="611"/>
      <c r="Q34" s="611"/>
      <c r="R34" s="611"/>
      <c r="S34" s="611"/>
      <c r="T34" s="611"/>
      <c r="U34" s="612"/>
      <c r="V34" s="611"/>
      <c r="W34" s="611"/>
      <c r="X34" s="602"/>
      <c r="Y34" s="602" t="s">
        <v>210</v>
      </c>
      <c r="Z34" s="602">
        <v>1705000</v>
      </c>
      <c r="AA34" s="602"/>
      <c r="AB34" s="602"/>
      <c r="AC34" s="602"/>
      <c r="AD34" s="602"/>
      <c r="AE34" s="602"/>
      <c r="AF34" s="602"/>
      <c r="AG34" s="602"/>
      <c r="AH34" s="602"/>
      <c r="AI34" s="602"/>
      <c r="AJ34" s="602"/>
      <c r="AK34" s="602"/>
      <c r="AL34" s="602"/>
    </row>
    <row s="1857" customFormat="1" customHeight="1" ht="15">
      <c r="U35" s="192"/>
    </row>
    <row s="1857" customFormat="1" customHeight="1" ht="15">
      <c r="U36" s="192"/>
    </row>
    <row s="1822" customFormat="1" customHeight="1" ht="11.25">
      <c r="A37" s="1822" t="s">
        <v>2063</v>
      </c>
    </row>
    <row customHeight="1" ht="11.25"/>
    <row s="462" customFormat="1" customHeight="1" ht="22.5">
      <c r="A39" s="1798"/>
      <c r="B39" s="464"/>
      <c r="C39" s="866"/>
      <c r="D39" s="447"/>
      <c r="E39" s="867"/>
      <c r="F39" s="1819"/>
      <c r="G39" s="1829"/>
      <c r="H39" s="482"/>
    </row>
    <row customHeight="1" ht="11.25"/>
    <row s="1822" customFormat="1" customHeight="1" ht="11.25">
      <c r="A41" s="1822" t="s">
        <v>2064</v>
      </c>
    </row>
    <row customHeight="1" ht="11.25"/>
    <row s="462" customFormat="1" customHeight="1" ht="22.5">
      <c r="A43" s="464"/>
      <c r="B43" s="464"/>
      <c r="C43" s="464"/>
      <c r="D43" s="447"/>
      <c r="E43" s="867"/>
      <c r="F43" s="868"/>
      <c r="G43" s="1829"/>
      <c r="H43" s="482"/>
    </row>
    <row customHeight="1" ht="11.25"/>
    <row s="1822" customFormat="1" customHeight="1" ht="11.25">
      <c r="A45" s="1822" t="s">
        <v>2065</v>
      </c>
    </row>
    <row customHeight="1" ht="11.25"/>
    <row s="462" customFormat="1" customHeight="1" ht="24">
      <c r="A47" s="2209" t="s">
        <v>476</v>
      </c>
      <c r="B47" s="509"/>
      <c r="C47" s="2220"/>
      <c r="D47" s="452" t="str">
        <f>A47</f>
        <v>5.1</v>
      </c>
      <c r="E47" s="449" t="s">
        <v>477</v>
      </c>
      <c r="F47" s="1983" t="s">
        <v>469</v>
      </c>
      <c r="G47" s="451" t="s">
        <v>478</v>
      </c>
      <c r="H47" s="482"/>
      <c r="I47" s="859"/>
    </row>
    <row s="462" customFormat="1" customHeight="1" ht="22.5">
      <c r="A48" s="2209"/>
      <c r="B48" s="509"/>
      <c r="C48" s="2220"/>
      <c r="D48" s="447" t="str">
        <f>D47&amp;".1"</f>
        <v>5.1.1</v>
      </c>
      <c r="E48" s="446" t="s">
        <v>479</v>
      </c>
      <c r="F48" s="1984" t="s">
        <v>28</v>
      </c>
      <c r="G48" s="481"/>
      <c r="H48" s="482"/>
      <c r="I48" s="859"/>
    </row>
    <row s="462" customFormat="1" customHeight="1" ht="22.5">
      <c r="A49" s="2209"/>
      <c r="B49" s="509"/>
      <c r="C49" s="2220"/>
      <c r="D49" s="447" t="str">
        <f>D47&amp;".2"</f>
        <v>5.1.2</v>
      </c>
      <c r="E49" s="446" t="s">
        <v>480</v>
      </c>
      <c r="F49" s="1739" t="s">
        <v>28</v>
      </c>
      <c r="G49" s="451" t="s">
        <v>481</v>
      </c>
      <c r="H49" s="482"/>
      <c r="I49" s="859"/>
    </row>
    <row s="462" customFormat="1" customHeight="1" ht="22.5">
      <c r="A50" s="2209"/>
      <c r="B50" s="509"/>
      <c r="C50" s="2220"/>
      <c r="D50" s="447" t="str">
        <f>D47&amp;".3"</f>
        <v>5.1.3</v>
      </c>
      <c r="E50" s="446" t="s">
        <v>482</v>
      </c>
      <c r="F50" s="1984" t="s">
        <v>28</v>
      </c>
      <c r="G50" s="481"/>
      <c r="H50" s="482"/>
      <c r="I50" s="859"/>
    </row>
    <row s="462" customFormat="1" customHeight="1" ht="22.5">
      <c r="A51" s="2209"/>
      <c r="B51" s="509"/>
      <c r="C51" s="2220"/>
      <c r="D51" s="447" t="str">
        <f>D47&amp;".4"</f>
        <v>5.1.4</v>
      </c>
      <c r="E51" s="446" t="s">
        <v>483</v>
      </c>
      <c r="F51" s="1984" t="s">
        <v>28</v>
      </c>
      <c r="G51" s="451" t="s">
        <v>484</v>
      </c>
      <c r="H51" s="482"/>
      <c r="I51" s="859"/>
    </row>
    <row r="54" s="1822" customFormat="1" customHeight="1" ht="17.25">
      <c r="A54" s="1822" t="s">
        <v>2066</v>
      </c>
    </row>
    <row r="56" s="1619" customFormat="1" customHeight="1" ht="18.75">
      <c r="A56" s="96"/>
      <c r="B56" s="1830"/>
      <c r="C56" s="1830"/>
      <c r="D56" s="1831"/>
      <c r="E56" s="1816"/>
      <c r="F56" s="875">
        <v>13</v>
      </c>
      <c r="G56" s="874"/>
      <c r="H56" s="800"/>
      <c r="I56" s="798"/>
      <c r="J56" s="527" t="s">
        <v>66</v>
      </c>
      <c r="K56" s="1832" t="s">
        <v>28</v>
      </c>
      <c r="L56" s="96"/>
      <c r="M56" s="1643"/>
      <c r="N56" s="1643"/>
      <c r="O56" s="1643"/>
      <c r="P56" s="523" t="s">
        <v>555</v>
      </c>
      <c r="Q56" s="523" t="s">
        <v>556</v>
      </c>
      <c r="R56" s="524" t="s">
        <v>557</v>
      </c>
      <c r="S56" s="1643" t="s">
        <v>558</v>
      </c>
      <c r="T56" s="1643"/>
      <c r="U56" s="1643"/>
      <c r="V56" s="1643"/>
    </row>
    <row r="58" s="1822" customFormat="1" customHeight="1" ht="11.25">
      <c r="A58" s="1822" t="s">
        <v>2067</v>
      </c>
    </row>
    <row r="60" s="1642" customFormat="1" customHeight="1" ht="14.25">
      <c r="C60" s="1695"/>
      <c r="D60" s="1876"/>
      <c r="E60" s="1784" t="s">
        <v>28</v>
      </c>
      <c r="F60" s="1875"/>
      <c r="G60" s="863"/>
      <c r="H60" s="1785"/>
      <c r="I60" s="1785"/>
      <c r="J60" s="440"/>
      <c r="K60" s="1870"/>
      <c r="L60" s="439"/>
      <c r="M60" s="1870"/>
      <c r="N60" s="440"/>
      <c r="O60" s="1870"/>
      <c r="P60" s="440"/>
      <c r="Q60" s="1870"/>
      <c r="R60" s="440"/>
      <c r="S60" s="861"/>
      <c r="T60" s="1785"/>
      <c r="U60" s="440"/>
      <c r="V60" s="440"/>
      <c r="W60" s="1874"/>
      <c r="X60" s="1785"/>
      <c r="Y60" s="440"/>
      <c r="Z60" s="440"/>
      <c r="AA60" s="1874"/>
      <c r="AB60" s="1785"/>
      <c r="AC60" s="440"/>
      <c r="AD60" s="1874"/>
      <c r="AE60" s="96"/>
      <c r="AF60" s="96"/>
      <c r="AG60" s="96"/>
      <c r="AH60" s="96"/>
      <c r="AJ60" s="1643"/>
      <c r="AK60" s="1643"/>
      <c r="AL60" s="1643"/>
      <c r="AM60" s="1643"/>
      <c r="AN60" s="1643"/>
      <c r="AO60" s="1643"/>
      <c r="AP60" s="1631" t="s">
        <v>544</v>
      </c>
      <c r="AQ60" s="1631" t="s">
        <v>544</v>
      </c>
      <c r="AR60" s="1643"/>
      <c r="AS60" s="1643"/>
    </row>
    <row r="62" s="1822" customFormat="1" customHeight="1" ht="11.25">
      <c r="A62" s="1822" t="s">
        <v>2068</v>
      </c>
    </row>
    <row r="64" s="1830" customFormat="1" customHeight="1" ht="15">
      <c r="A64" s="152" t="s">
        <v>90</v>
      </c>
      <c r="B64" s="132" t="s">
        <v>28</v>
      </c>
      <c r="C64" s="1833"/>
      <c r="D64" s="135"/>
      <c r="E64" s="388"/>
      <c r="F64" s="388"/>
      <c r="G64" s="1810"/>
      <c r="H64" s="1832"/>
      <c r="I64" s="1811"/>
      <c r="K64" s="279"/>
      <c r="L64" s="280"/>
    </row>
    <row r="66" s="1822" customFormat="1" customHeight="1" ht="11.25">
      <c r="A66" s="1822" t="s">
        <v>2069</v>
      </c>
    </row>
    <row r="68" s="1642" customFormat="1" customHeight="1" ht="14.25">
      <c r="A68" s="350"/>
      <c r="B68" s="1167"/>
      <c r="C68" s="383"/>
      <c r="D68" s="1817"/>
      <c r="E68" s="893"/>
      <c r="F68" s="1832"/>
      <c r="G68" s="96"/>
      <c r="I68" s="1631"/>
      <c r="J68" s="1631"/>
    </row>
    <row r="70" s="1822" customFormat="1" customHeight="1" ht="11.25">
      <c r="A70" s="1822" t="s">
        <v>2070</v>
      </c>
    </row>
    <row r="72" s="1642" customFormat="1" customHeight="1" ht="27">
      <c r="A72" s="1173"/>
      <c r="B72" s="1173"/>
      <c r="C72" s="1173"/>
      <c r="D72" s="1167"/>
      <c r="E72" s="1834"/>
      <c r="F72" s="2588"/>
      <c r="G72" s="2589"/>
      <c r="H72" s="2590" t="s">
        <v>66</v>
      </c>
      <c r="I72" s="2592"/>
      <c r="J72" s="2555"/>
      <c r="K72" s="2594"/>
      <c r="L72" s="2557"/>
      <c r="M72" s="2557"/>
      <c r="N72" s="2558"/>
      <c r="O72" s="2558"/>
      <c r="P72" s="2559">
        <f>DATEDIF(DATEVALUE(N72),DATEVALUE(O72),"y")&amp;"г. "&amp;DATEDIF(DATEVALUE(N72),DATEVALUE(O72),"ym")&amp;"мес. "&amp;DATEVALUE(O72)-DATE(YEAR(DATEVALUE(O72)),MONTH(DATEVALUE(O72)),1)&amp;"дн. "</f>
      </c>
      <c r="Q72" s="2554"/>
      <c r="R72" s="2554"/>
      <c r="S72" s="2554"/>
      <c r="T72" s="2555"/>
      <c r="U72" s="2554"/>
      <c r="V72" s="2554"/>
      <c r="W72" s="2554"/>
      <c r="X72" s="2555"/>
      <c r="Y72" s="2552" t="s">
        <v>66</v>
      </c>
      <c r="Z72" s="1815"/>
      <c r="AA72" s="1799">
        <v>1</v>
      </c>
      <c r="AB72" s="1249"/>
      <c r="AD72" s="1643" t="s">
        <v>2071</v>
      </c>
    </row>
    <row s="1642" customFormat="1" customHeight="1" ht="10.5">
      <c r="A73" s="1173"/>
      <c r="B73" s="1173"/>
      <c r="C73" s="1173"/>
      <c r="D73" s="1167"/>
      <c r="E73" s="954"/>
      <c r="F73" s="2588"/>
      <c r="G73" s="2589"/>
      <c r="H73" s="2591"/>
      <c r="I73" s="2593"/>
      <c r="J73" s="2556"/>
      <c r="K73" s="2594"/>
      <c r="L73" s="2557"/>
      <c r="M73" s="2557"/>
      <c r="N73" s="2558"/>
      <c r="O73" s="2558"/>
      <c r="P73" s="2559"/>
      <c r="Q73" s="2554"/>
      <c r="R73" s="2554"/>
      <c r="S73" s="2554"/>
      <c r="T73" s="2556"/>
      <c r="U73" s="2554"/>
      <c r="V73" s="2554"/>
      <c r="W73" s="2554"/>
      <c r="X73" s="2556"/>
      <c r="Y73" s="2553"/>
      <c r="Z73" s="354"/>
      <c r="AA73" s="579"/>
      <c r="AB73" s="659" t="s">
        <v>2072</v>
      </c>
    </row>
    <row r="75" s="1822" customFormat="1" customHeight="1" ht="11.25">
      <c r="A75" s="1822" t="s">
        <v>2073</v>
      </c>
    </row>
    <row r="77" s="1642" customFormat="1" customHeight="1" ht="27">
      <c r="A77" s="1173"/>
      <c r="B77" s="1173"/>
      <c r="C77" s="1173"/>
      <c r="D77" s="1167"/>
      <c r="E77" s="1834"/>
      <c r="F77" s="1804"/>
      <c r="G77" s="1754"/>
      <c r="H77" s="1755"/>
      <c r="I77" s="1756"/>
      <c r="J77" s="1757"/>
      <c r="K77" s="1758"/>
      <c r="L77" s="1759"/>
      <c r="M77" s="1759"/>
      <c r="N77" s="1760"/>
      <c r="O77" s="1760"/>
      <c r="P77" s="1761"/>
      <c r="Q77" s="1762"/>
      <c r="R77" s="1762"/>
      <c r="S77" s="1762"/>
      <c r="T77" s="1757"/>
      <c r="U77" s="1762"/>
      <c r="V77" s="1762"/>
      <c r="W77" s="1762"/>
      <c r="X77" s="1757"/>
      <c r="Y77" s="1755"/>
      <c r="Z77" s="1815"/>
      <c r="AA77" s="1799">
        <v>1</v>
      </c>
      <c r="AB77" s="1249"/>
      <c r="AD77" s="1643" t="s">
        <v>2071</v>
      </c>
    </row>
    <row r="79" s="1822" customFormat="1" customHeight="1" ht="11.25">
      <c r="A79" s="1822" t="s">
        <v>2074</v>
      </c>
    </row>
    <row customHeight="1" ht="17.25"/>
    <row s="1642" customFormat="1" customHeight="1" ht="21">
      <c r="A81" s="1174"/>
      <c r="B81" s="1173"/>
      <c r="C81" s="1173"/>
      <c r="D81" s="1167"/>
      <c r="E81" s="1177"/>
      <c r="F81" s="1129">
        <f>INDEX(IP_MAIN_LIST_NAME_IP,MATCH(A81,IP_MAIN_LIST_IP_ID,0))&amp;" ("&amp;INDEX(IP_MAIN_START_DATE,MATCH(A81,IP_MAIN_LIST_IP_ID,0))&amp;"-"&amp;INDEX(IP_MAIN_END_DATE,MATCH(A81,IP_MAIN_LIST_IP_ID,0))&amp;")"</f>
      </c>
      <c r="G81" s="1130"/>
      <c r="H81" s="1130"/>
      <c r="I81" s="1192"/>
      <c r="J81" s="1192"/>
      <c r="K81" s="1193"/>
      <c r="L81" s="1193"/>
      <c r="M81" s="1193"/>
      <c r="N81" s="1194"/>
      <c r="O81" s="1194"/>
      <c r="P81" s="1194"/>
      <c r="Q81" s="1194"/>
      <c r="R81" s="1194"/>
      <c r="S81" s="1194"/>
      <c r="T81" s="1194"/>
      <c r="U81" s="1194"/>
      <c r="V81" s="1194"/>
      <c r="W81" s="1194"/>
      <c r="X81" s="1194"/>
      <c r="Y81" s="1194"/>
      <c r="Z81" s="1194"/>
      <c r="AA81" s="1194"/>
      <c r="AB81" s="1194"/>
      <c r="AC81" s="1194"/>
      <c r="AD81" s="1194"/>
      <c r="AE81" s="1195"/>
      <c r="AF81" s="1193"/>
      <c r="AG81" s="1193"/>
      <c r="AH81" s="1193"/>
      <c r="AI81" s="1193"/>
      <c r="AJ81" s="1193"/>
      <c r="AK81" s="1193"/>
      <c r="AL81" s="1995"/>
      <c r="AM81" s="1830"/>
      <c r="AN81" s="1830"/>
      <c r="AO81" s="1830"/>
      <c r="AP81" s="1830"/>
      <c r="AQ81" s="1830"/>
      <c r="AR81" s="1830"/>
      <c r="AS81" s="1830"/>
      <c r="AT81" s="1830"/>
      <c r="AU81" s="1830"/>
      <c r="AV81" s="1830"/>
      <c r="AW81" s="1830"/>
      <c r="AX81" s="1830"/>
      <c r="AY81" s="1830"/>
      <c r="AZ81" s="1830"/>
      <c r="BA81" s="1830"/>
      <c r="BB81" s="1830"/>
      <c r="BC81" s="1830"/>
      <c r="BD81" s="1830"/>
      <c r="BE81" s="1830"/>
      <c r="BF81" s="1830"/>
    </row>
    <row s="1642" customFormat="1" customHeight="1" ht="0.75">
      <c r="A82" s="1173"/>
      <c r="B82" s="1173"/>
      <c r="C82" s="1173"/>
      <c r="D82" s="1167"/>
      <c r="E82" s="1177"/>
      <c r="F82" s="2543"/>
      <c r="G82" s="2522"/>
      <c r="H82" s="2547" t="s">
        <v>539</v>
      </c>
      <c r="I82" s="2548"/>
      <c r="J82" s="2549"/>
      <c r="K82" s="2549"/>
      <c r="L82" s="2541"/>
      <c r="M82" s="2275"/>
      <c r="N82" s="2043"/>
      <c r="O82" s="2042"/>
      <c r="P82" s="2043"/>
      <c r="Q82" s="2043"/>
      <c r="R82" s="2043"/>
      <c r="S82" s="2043"/>
      <c r="T82" s="2043"/>
      <c r="U82" s="2043"/>
      <c r="V82" s="2043"/>
      <c r="W82" s="2043"/>
      <c r="X82" s="2043"/>
      <c r="Y82" s="2043"/>
      <c r="Z82" s="2043"/>
      <c r="AA82" s="2043"/>
      <c r="AB82" s="2043"/>
      <c r="AC82" s="2043"/>
      <c r="AD82" s="2043"/>
      <c r="AE82" s="2043"/>
      <c r="AF82" s="2545"/>
      <c r="AG82" s="2541"/>
      <c r="AH82" s="2541"/>
      <c r="AI82" s="2545"/>
      <c r="AJ82" s="2541"/>
      <c r="AK82" s="2541"/>
      <c r="AL82" s="1995"/>
      <c r="AM82" s="1830"/>
      <c r="AN82" s="1830"/>
      <c r="AO82" s="1830"/>
      <c r="AP82" s="1830"/>
      <c r="AQ82" s="1830"/>
      <c r="AR82" s="1830"/>
      <c r="AS82" s="1830"/>
      <c r="AT82" s="1830"/>
      <c r="AU82" s="1830"/>
      <c r="AV82" s="1830"/>
      <c r="AW82" s="1830"/>
      <c r="AX82" s="1830"/>
      <c r="AY82" s="1830"/>
      <c r="AZ82" s="1830"/>
      <c r="BA82" s="1830"/>
      <c r="BB82" s="1830"/>
      <c r="BC82" s="1830"/>
      <c r="BD82" s="1830"/>
      <c r="BE82" s="1830"/>
      <c r="BF82" s="1830"/>
    </row>
    <row s="1642" customFormat="1" customHeight="1" ht="0.75">
      <c r="A83" s="1173"/>
      <c r="B83" s="1173"/>
      <c r="C83" s="1173"/>
      <c r="D83" s="1167"/>
      <c r="E83" s="1177"/>
      <c r="F83" s="2543"/>
      <c r="G83" s="2522"/>
      <c r="H83" s="2547"/>
      <c r="I83" s="2548"/>
      <c r="J83" s="2549"/>
      <c r="K83" s="2549"/>
      <c r="L83" s="2541"/>
      <c r="M83" s="2275"/>
      <c r="N83" s="2550"/>
      <c r="O83" s="2551"/>
      <c r="P83" s="2595"/>
      <c r="Q83" s="2546"/>
      <c r="R83" s="2546"/>
      <c r="S83" s="2546"/>
      <c r="T83" s="2546"/>
      <c r="U83" s="2546"/>
      <c r="V83" s="2546"/>
      <c r="W83" s="2546"/>
      <c r="X83" s="2546"/>
      <c r="Y83" s="2546"/>
      <c r="Z83" s="2044"/>
      <c r="AA83" s="2045"/>
      <c r="AB83" s="2045"/>
      <c r="AC83" s="2046"/>
      <c r="AD83" s="2046"/>
      <c r="AE83" s="2047"/>
      <c r="AF83" s="2545"/>
      <c r="AG83" s="2541"/>
      <c r="AH83" s="2541"/>
      <c r="AI83" s="2545"/>
      <c r="AJ83" s="2541"/>
      <c r="AK83" s="2541"/>
      <c r="AL83" s="1995"/>
      <c r="AM83" s="1830"/>
      <c r="AN83" s="1830"/>
      <c r="AO83" s="1830"/>
      <c r="AP83" s="1830"/>
      <c r="AQ83" s="1830"/>
      <c r="AR83" s="1830"/>
      <c r="AS83" s="1830"/>
      <c r="AT83" s="1830"/>
      <c r="AU83" s="1830"/>
      <c r="AV83" s="1830"/>
      <c r="AW83" s="1830"/>
      <c r="AX83" s="1830"/>
      <c r="AY83" s="1830"/>
      <c r="AZ83" s="1830"/>
      <c r="BA83" s="1830"/>
      <c r="BB83" s="1830"/>
      <c r="BC83" s="1830"/>
      <c r="BD83" s="1830"/>
      <c r="BE83" s="1830"/>
      <c r="BF83" s="1830"/>
    </row>
    <row s="1642" customFormat="1" customHeight="1" ht="0.75">
      <c r="A84" s="1173"/>
      <c r="B84" s="1173"/>
      <c r="C84" s="1173"/>
      <c r="D84" s="1167"/>
      <c r="E84" s="1177"/>
      <c r="F84" s="2543"/>
      <c r="G84" s="2522"/>
      <c r="H84" s="2547"/>
      <c r="I84" s="2548"/>
      <c r="J84" s="2549"/>
      <c r="K84" s="2549"/>
      <c r="L84" s="2541"/>
      <c r="M84" s="2275"/>
      <c r="N84" s="2550"/>
      <c r="O84" s="2551"/>
      <c r="P84" s="2596"/>
      <c r="Q84" s="2546"/>
      <c r="R84" s="2546"/>
      <c r="S84" s="2546"/>
      <c r="T84" s="2546"/>
      <c r="U84" s="2546"/>
      <c r="V84" s="2546"/>
      <c r="W84" s="2546"/>
      <c r="X84" s="2546"/>
      <c r="Y84" s="2546"/>
      <c r="Z84" s="2048"/>
      <c r="AA84" s="2049"/>
      <c r="AB84" s="2050"/>
      <c r="AC84" s="2051"/>
      <c r="AD84" s="2050"/>
      <c r="AE84" s="2051"/>
      <c r="AF84" s="2545"/>
      <c r="AG84" s="2541"/>
      <c r="AH84" s="2541"/>
      <c r="AI84" s="2545"/>
      <c r="AJ84" s="2541"/>
      <c r="AK84" s="2541"/>
      <c r="AL84" s="1995"/>
      <c r="AM84" s="1830"/>
      <c r="AN84" s="1830"/>
      <c r="AO84" s="1830"/>
      <c r="AP84" s="1830"/>
      <c r="AQ84" s="1830"/>
      <c r="AR84" s="1830"/>
      <c r="AS84" s="1830"/>
      <c r="AT84" s="1830"/>
      <c r="AU84" s="1830"/>
      <c r="AV84" s="1830"/>
      <c r="AW84" s="1830"/>
      <c r="AX84" s="1830"/>
      <c r="AY84" s="1830"/>
      <c r="AZ84" s="1830"/>
      <c r="BA84" s="1830"/>
      <c r="BB84" s="1830"/>
      <c r="BC84" s="1830"/>
      <c r="BD84" s="1830"/>
      <c r="BE84" s="1830"/>
      <c r="BF84" s="1830"/>
    </row>
    <row s="1642" customFormat="1" customHeight="1" ht="0.75">
      <c r="A85" s="1173"/>
      <c r="B85" s="1173"/>
      <c r="C85" s="1173"/>
      <c r="D85" s="1167"/>
      <c r="E85" s="1177"/>
      <c r="F85" s="2543"/>
      <c r="G85" s="2522"/>
      <c r="H85" s="2547"/>
      <c r="I85" s="2548"/>
      <c r="J85" s="2549"/>
      <c r="K85" s="2549"/>
      <c r="L85" s="2541"/>
      <c r="M85" s="2275"/>
      <c r="N85" s="2550"/>
      <c r="O85" s="2551"/>
      <c r="P85" s="2597"/>
      <c r="Q85" s="2546"/>
      <c r="R85" s="2546"/>
      <c r="S85" s="2546"/>
      <c r="T85" s="2546"/>
      <c r="U85" s="2546"/>
      <c r="V85" s="2546"/>
      <c r="W85" s="2546"/>
      <c r="X85" s="2546"/>
      <c r="Y85" s="2546"/>
      <c r="Z85" s="2044"/>
      <c r="AA85" s="2045"/>
      <c r="AB85" s="2052"/>
      <c r="AC85" s="2046"/>
      <c r="AD85" s="2046"/>
      <c r="AE85" s="2053"/>
      <c r="AF85" s="2545"/>
      <c r="AG85" s="2541"/>
      <c r="AH85" s="2541"/>
      <c r="AI85" s="2545"/>
      <c r="AJ85" s="2541"/>
      <c r="AK85" s="2541"/>
      <c r="AL85" s="1995"/>
      <c r="AM85" s="1830"/>
      <c r="AN85" s="1830"/>
      <c r="AO85" s="1830"/>
      <c r="AP85" s="1830"/>
      <c r="AQ85" s="1830"/>
      <c r="AR85" s="1830"/>
      <c r="AS85" s="1830"/>
      <c r="AT85" s="1830"/>
      <c r="AU85" s="1830"/>
      <c r="AV85" s="1830"/>
      <c r="AW85" s="1830"/>
      <c r="AX85" s="1830"/>
      <c r="AY85" s="1830"/>
      <c r="AZ85" s="1830"/>
      <c r="BA85" s="1830"/>
      <c r="BB85" s="1830"/>
      <c r="BC85" s="1830"/>
      <c r="BD85" s="1830"/>
      <c r="BE85" s="1830"/>
      <c r="BF85" s="1830"/>
    </row>
    <row s="1642" customFormat="1" customHeight="1" ht="0.75">
      <c r="A86" s="1173"/>
      <c r="B86" s="1173"/>
      <c r="C86" s="1173"/>
      <c r="D86" s="1167"/>
      <c r="E86" s="1177"/>
      <c r="F86" s="2543"/>
      <c r="G86" s="2522"/>
      <c r="H86" s="2547"/>
      <c r="I86" s="2548"/>
      <c r="J86" s="2549"/>
      <c r="K86" s="2549"/>
      <c r="L86" s="2541"/>
      <c r="M86" s="2275"/>
      <c r="N86" s="2045"/>
      <c r="O86" s="2045"/>
      <c r="P86" s="2052"/>
      <c r="Q86" s="2045"/>
      <c r="R86" s="2045"/>
      <c r="S86" s="2045"/>
      <c r="T86" s="2045"/>
      <c r="U86" s="2045"/>
      <c r="V86" s="2045"/>
      <c r="W86" s="2045"/>
      <c r="X86" s="2045"/>
      <c r="Y86" s="2045"/>
      <c r="Z86" s="2045"/>
      <c r="AA86" s="2045"/>
      <c r="AB86" s="2045"/>
      <c r="AC86" s="2045"/>
      <c r="AD86" s="2045"/>
      <c r="AE86" s="2054"/>
      <c r="AF86" s="2545"/>
      <c r="AG86" s="2541"/>
      <c r="AH86" s="2541"/>
      <c r="AI86" s="2545"/>
      <c r="AJ86" s="2541"/>
      <c r="AK86" s="2541"/>
      <c r="AL86" s="1995"/>
      <c r="AM86" s="1830"/>
      <c r="AN86" s="1830"/>
      <c r="AO86" s="1830"/>
      <c r="AP86" s="1830"/>
      <c r="AQ86" s="1830"/>
      <c r="AR86" s="1830"/>
      <c r="AS86" s="1830"/>
      <c r="AT86" s="1830"/>
      <c r="AU86" s="1830"/>
      <c r="AV86" s="1830"/>
      <c r="AW86" s="1830"/>
      <c r="AX86" s="1830"/>
      <c r="AY86" s="1830"/>
      <c r="AZ86" s="1830"/>
      <c r="BA86" s="1830"/>
      <c r="BB86" s="1830"/>
      <c r="BC86" s="1830"/>
      <c r="BD86" s="1830"/>
      <c r="BE86" s="1830"/>
      <c r="BF86" s="1830"/>
    </row>
    <row s="1642" customFormat="1" customHeight="1" ht="12">
      <c r="A87" s="1173"/>
      <c r="B87" s="1173"/>
      <c r="C87" s="1173"/>
      <c r="D87" s="1167"/>
      <c r="E87" s="1177"/>
      <c r="F87" s="2544"/>
      <c r="G87" s="1197"/>
      <c r="H87" s="1197"/>
      <c r="I87" s="2542" t="s">
        <v>2075</v>
      </c>
      <c r="J87" s="2542"/>
      <c r="K87" s="2542"/>
      <c r="L87" s="1180"/>
      <c r="M87" s="1180"/>
      <c r="N87" s="1181"/>
      <c r="O87" s="1181"/>
      <c r="P87" s="1181"/>
      <c r="Q87" s="1181"/>
      <c r="R87" s="1181"/>
      <c r="S87" s="1181"/>
      <c r="T87" s="1181"/>
      <c r="U87" s="1181"/>
      <c r="V87" s="1181"/>
      <c r="W87" s="1181"/>
      <c r="X87" s="1181"/>
      <c r="Y87" s="1181"/>
      <c r="Z87" s="1181"/>
      <c r="AA87" s="1181"/>
      <c r="AB87" s="1181"/>
      <c r="AC87" s="1181"/>
      <c r="AD87" s="1181"/>
      <c r="AE87" s="1181"/>
      <c r="AF87" s="1181"/>
      <c r="AG87" s="1180"/>
      <c r="AH87" s="1180"/>
      <c r="AI87" s="1181"/>
      <c r="AJ87" s="1180"/>
      <c r="AK87" s="1181"/>
      <c r="AL87" s="1995"/>
      <c r="AM87" s="1830"/>
      <c r="AN87" s="1830"/>
      <c r="AO87" s="1830"/>
      <c r="AP87" s="1830"/>
      <c r="AQ87" s="1830"/>
      <c r="AR87" s="1830"/>
      <c r="AS87" s="1830"/>
      <c r="AT87" s="1830"/>
      <c r="AU87" s="1830"/>
      <c r="AV87" s="1830"/>
      <c r="AW87" s="1830"/>
      <c r="AX87" s="1830"/>
      <c r="AY87" s="1830"/>
      <c r="AZ87" s="1830"/>
      <c r="BA87" s="1830"/>
      <c r="BB87" s="1830"/>
      <c r="BC87" s="1830"/>
      <c r="BD87" s="1830"/>
      <c r="BE87" s="1830"/>
      <c r="BF87" s="1830"/>
    </row>
    <row r="89" s="1822" customFormat="1" customHeight="1" ht="11.25">
      <c r="A89" s="1822" t="s">
        <v>2076</v>
      </c>
    </row>
    <row r="91" s="1642" customFormat="1" customHeight="1" ht="11.25">
      <c r="A91" s="1173"/>
      <c r="B91" s="1173"/>
      <c r="C91" s="1173"/>
      <c r="D91" s="1167"/>
      <c r="E91" s="1177"/>
      <c r="F91" s="1836"/>
      <c r="G91" s="1837"/>
      <c r="H91" s="1837"/>
      <c r="I91" s="1771"/>
      <c r="J91" s="1771"/>
      <c r="K91" s="1838"/>
      <c r="L91" s="1771"/>
      <c r="M91" s="1837"/>
      <c r="N91" s="2515"/>
      <c r="O91" s="2598">
        <v>1</v>
      </c>
      <c r="P91" s="2517" t="s">
        <v>19</v>
      </c>
      <c r="Q91" s="2520" t="s">
        <v>28</v>
      </c>
      <c r="R91" s="2520" t="s">
        <v>28</v>
      </c>
      <c r="S91" s="2520" t="s">
        <v>28</v>
      </c>
      <c r="T91" s="2520" t="s">
        <v>28</v>
      </c>
      <c r="U91" s="2520" t="s">
        <v>28</v>
      </c>
      <c r="V91" s="2520" t="s">
        <v>28</v>
      </c>
      <c r="W91" s="2520" t="s">
        <v>28</v>
      </c>
      <c r="X91" s="2520" t="s">
        <v>28</v>
      </c>
      <c r="Y91" s="2520"/>
      <c r="Z91" s="1182"/>
      <c r="AA91" s="1183"/>
      <c r="AB91" s="1183"/>
      <c r="AC91" s="1187"/>
      <c r="AD91" s="1187"/>
      <c r="AE91" s="1187"/>
      <c r="AF91" s="1839"/>
      <c r="AG91" s="1766"/>
      <c r="AH91" s="1766"/>
      <c r="AI91" s="1839"/>
      <c r="AJ91" s="1766"/>
      <c r="AK91" s="1994"/>
      <c r="AL91" s="1995"/>
      <c r="AM91" s="1830"/>
      <c r="AN91" s="1830"/>
      <c r="AO91" s="1830"/>
      <c r="AP91" s="1830"/>
      <c r="AQ91" s="1830"/>
      <c r="AR91" s="1830"/>
      <c r="AS91" s="1830"/>
      <c r="AT91" s="1830"/>
      <c r="AU91" s="1830"/>
      <c r="AV91" s="1830"/>
      <c r="AW91" s="1830"/>
      <c r="AX91" s="1830"/>
      <c r="AY91" s="1830"/>
      <c r="AZ91" s="1830"/>
      <c r="BA91" s="1830"/>
      <c r="BB91" s="1830"/>
      <c r="BC91" s="1830"/>
      <c r="BD91" s="1830"/>
      <c r="BE91" s="1830"/>
      <c r="BF91" s="1830"/>
    </row>
    <row s="1642" customFormat="1" customHeight="1" ht="11.25">
      <c r="A92" s="1173"/>
      <c r="B92" s="1173"/>
      <c r="C92" s="1173"/>
      <c r="D92" s="1167"/>
      <c r="E92" s="1177"/>
      <c r="F92" s="1836"/>
      <c r="G92" s="1837"/>
      <c r="H92" s="1837"/>
      <c r="I92" s="1772"/>
      <c r="J92" s="1772"/>
      <c r="K92" s="1838"/>
      <c r="L92" s="1772"/>
      <c r="M92" s="1837"/>
      <c r="N92" s="2515"/>
      <c r="O92" s="2598"/>
      <c r="P92" s="2518"/>
      <c r="Q92" s="2520"/>
      <c r="R92" s="2520"/>
      <c r="S92" s="2521"/>
      <c r="T92" s="2520"/>
      <c r="U92" s="2520"/>
      <c r="V92" s="2520"/>
      <c r="W92" s="2520"/>
      <c r="X92" s="2520"/>
      <c r="Y92" s="2520"/>
      <c r="Z92" s="1835"/>
      <c r="AA92" s="1801">
        <v>1</v>
      </c>
      <c r="AB92" s="1186"/>
      <c r="AC92" s="1176"/>
      <c r="AD92" s="1186">
        <f>AB92</f>
        <v>0</v>
      </c>
      <c r="AE92" s="731"/>
      <c r="AF92" s="1838"/>
      <c r="AG92" s="1766"/>
      <c r="AH92" s="1766"/>
      <c r="AI92" s="1838"/>
      <c r="AJ92" s="1766"/>
      <c r="AK92" s="1994"/>
      <c r="AL92" s="1995"/>
      <c r="AM92" s="1830"/>
      <c r="AN92" s="1830"/>
      <c r="AO92" s="1830"/>
      <c r="AP92" s="1830"/>
      <c r="AQ92" s="1830"/>
      <c r="AR92" s="1830"/>
      <c r="AS92" s="1830"/>
      <c r="AT92" s="1830"/>
      <c r="AU92" s="1830"/>
      <c r="AV92" s="1830"/>
      <c r="AW92" s="1830"/>
      <c r="AX92" s="1830"/>
      <c r="AY92" s="1830"/>
      <c r="AZ92" s="1830"/>
      <c r="BA92" s="1830"/>
      <c r="BB92" s="1830"/>
      <c r="BC92" s="1830"/>
      <c r="BD92" s="1830"/>
      <c r="BE92" s="1830"/>
      <c r="BF92" s="1830"/>
    </row>
    <row s="1642" customFormat="1" customHeight="1" ht="11.25">
      <c r="A93" s="1173"/>
      <c r="B93" s="1173"/>
      <c r="C93" s="1173"/>
      <c r="D93" s="1167"/>
      <c r="E93" s="1177"/>
      <c r="F93" s="1836"/>
      <c r="G93" s="1837"/>
      <c r="H93" s="1837"/>
      <c r="I93" s="1773"/>
      <c r="J93" s="1773"/>
      <c r="K93" s="1838"/>
      <c r="L93" s="1773"/>
      <c r="M93" s="1837"/>
      <c r="N93" s="2515"/>
      <c r="O93" s="2598"/>
      <c r="P93" s="2519"/>
      <c r="Q93" s="2520"/>
      <c r="R93" s="2520"/>
      <c r="S93" s="2521"/>
      <c r="T93" s="2520"/>
      <c r="U93" s="2520"/>
      <c r="V93" s="2520"/>
      <c r="W93" s="2520"/>
      <c r="X93" s="2520"/>
      <c r="Y93" s="2520"/>
      <c r="Z93" s="1182"/>
      <c r="AA93" s="1183"/>
      <c r="AB93" s="1248" t="s">
        <v>2077</v>
      </c>
      <c r="AC93" s="1187"/>
      <c r="AD93" s="1187"/>
      <c r="AE93" s="1187"/>
      <c r="AF93" s="1840"/>
      <c r="AG93" s="1766"/>
      <c r="AH93" s="1766"/>
      <c r="AI93" s="1840"/>
      <c r="AJ93" s="1766"/>
      <c r="AK93" s="1994"/>
      <c r="AL93" s="1995"/>
      <c r="AM93" s="1830"/>
      <c r="AN93" s="1830"/>
      <c r="AO93" s="1830"/>
      <c r="AP93" s="1830"/>
      <c r="AQ93" s="1830"/>
      <c r="AR93" s="1830"/>
      <c r="AS93" s="1830"/>
      <c r="AT93" s="1830"/>
      <c r="AU93" s="1830"/>
      <c r="AV93" s="1830"/>
      <c r="AW93" s="1830"/>
      <c r="AX93" s="1830"/>
      <c r="AY93" s="1830"/>
      <c r="AZ93" s="1830"/>
      <c r="BA93" s="1830"/>
      <c r="BB93" s="1830"/>
      <c r="BC93" s="1830"/>
      <c r="BD93" s="1830"/>
      <c r="BE93" s="1830"/>
      <c r="BF93" s="1830"/>
    </row>
    <row r="95" s="1822" customFormat="1" customHeight="1" ht="11.25">
      <c r="A95" s="1822" t="s">
        <v>2078</v>
      </c>
    </row>
    <row r="97" s="1642" customFormat="1" customHeight="1" ht="11.25">
      <c r="A97" s="1173"/>
      <c r="B97" s="1173"/>
      <c r="C97" s="1173"/>
      <c r="D97" s="1167"/>
      <c r="E97" s="1177"/>
      <c r="F97" s="1837"/>
      <c r="G97" s="1837"/>
      <c r="H97" s="1837"/>
      <c r="I97" s="1837"/>
      <c r="J97" s="1837"/>
      <c r="K97" s="1837"/>
      <c r="L97" s="1837"/>
      <c r="M97" s="1837"/>
      <c r="N97" s="1837"/>
      <c r="O97" s="1837"/>
      <c r="P97" s="1837"/>
      <c r="Q97" s="1837"/>
      <c r="R97" s="1837"/>
      <c r="S97" s="1837"/>
      <c r="T97" s="1837"/>
      <c r="U97" s="1837"/>
      <c r="V97" s="1837"/>
      <c r="W97" s="1837"/>
      <c r="X97" s="1837"/>
      <c r="Y97" s="1837"/>
      <c r="Z97" s="1841"/>
      <c r="AA97" s="1821">
        <v>1</v>
      </c>
      <c r="AB97" s="1186"/>
      <c r="AC97" s="1176"/>
      <c r="AD97" s="1186">
        <f>AB97</f>
        <v>0</v>
      </c>
      <c r="AE97" s="1176"/>
      <c r="AF97" s="1838"/>
      <c r="AG97" s="1766"/>
      <c r="AH97" s="1766"/>
      <c r="AI97" s="1838"/>
      <c r="AJ97" s="1766"/>
      <c r="AK97" s="1994"/>
      <c r="AL97" s="1995"/>
      <c r="AM97" s="1830"/>
      <c r="AN97" s="1830"/>
      <c r="AO97" s="1830"/>
      <c r="AP97" s="1830"/>
      <c r="AQ97" s="1830"/>
      <c r="AR97" s="1830"/>
      <c r="AS97" s="1830"/>
      <c r="AT97" s="1830"/>
      <c r="AU97" s="1830"/>
      <c r="AV97" s="1830"/>
      <c r="AW97" s="1830"/>
      <c r="AX97" s="1830"/>
      <c r="AY97" s="1830"/>
      <c r="AZ97" s="1830"/>
      <c r="BA97" s="1830"/>
      <c r="BB97" s="1830"/>
      <c r="BC97" s="1830"/>
      <c r="BD97" s="1830"/>
      <c r="BE97" s="1830"/>
      <c r="BF97" s="1830"/>
    </row>
    <row r="99" s="1822" customFormat="1" customHeight="1" ht="11.25">
      <c r="A99" s="1822" t="s">
        <v>2079</v>
      </c>
    </row>
    <row r="101" s="1642" customFormat="1" customHeight="1" ht="11.25">
      <c r="A101" s="1173"/>
      <c r="B101" s="1173"/>
      <c r="C101" s="1173"/>
      <c r="D101" s="1167"/>
      <c r="E101" s="1177"/>
      <c r="F101" s="1836"/>
      <c r="G101" s="1837"/>
      <c r="H101" s="2522" t="s">
        <v>108</v>
      </c>
      <c r="I101" s="2523"/>
      <c r="J101" s="2492"/>
      <c r="K101" s="2524"/>
      <c r="L101" s="2114" t="s">
        <v>19</v>
      </c>
      <c r="M101" s="2115"/>
      <c r="N101" s="1993"/>
      <c r="O101" s="1184" t="s">
        <v>539</v>
      </c>
      <c r="P101" s="1185"/>
      <c r="Q101" s="1185"/>
      <c r="R101" s="1185"/>
      <c r="S101" s="1185"/>
      <c r="T101" s="1185"/>
      <c r="U101" s="1185"/>
      <c r="V101" s="1185"/>
      <c r="W101" s="1185"/>
      <c r="X101" s="1185"/>
      <c r="Y101" s="1185"/>
      <c r="Z101" s="1185"/>
      <c r="AA101" s="1185"/>
      <c r="AB101" s="1185"/>
      <c r="AC101" s="1185"/>
      <c r="AD101" s="1185"/>
      <c r="AE101" s="1185"/>
      <c r="AF101" s="2513"/>
      <c r="AG101" s="2514"/>
      <c r="AH101" s="2514"/>
      <c r="AI101" s="2513"/>
      <c r="AJ101" s="2514"/>
      <c r="AK101" s="2514"/>
      <c r="AL101" s="1995"/>
      <c r="AM101" s="1830"/>
      <c r="AN101" s="1830"/>
      <c r="AO101" s="1830"/>
      <c r="AP101" s="1830"/>
      <c r="AQ101" s="1830"/>
      <c r="AR101" s="1830"/>
      <c r="AS101" s="1830"/>
      <c r="AT101" s="1830"/>
      <c r="AU101" s="1830"/>
      <c r="AV101" s="1830"/>
      <c r="AW101" s="1830"/>
      <c r="AX101" s="1830"/>
      <c r="AY101" s="1830"/>
      <c r="AZ101" s="1830"/>
      <c r="BA101" s="1830"/>
      <c r="BB101" s="1830"/>
      <c r="BC101" s="1830"/>
      <c r="BD101" s="1830"/>
      <c r="BE101" s="1830"/>
      <c r="BF101" s="1830"/>
    </row>
    <row s="1642" customFormat="1" customHeight="1" ht="11.25">
      <c r="A102" s="1173"/>
      <c r="B102" s="1173"/>
      <c r="C102" s="1173"/>
      <c r="D102" s="1167"/>
      <c r="E102" s="1177"/>
      <c r="F102" s="1836"/>
      <c r="G102" s="1837"/>
      <c r="H102" s="2522"/>
      <c r="I102" s="2523"/>
      <c r="J102" s="2492"/>
      <c r="K102" s="2524"/>
      <c r="L102" s="2114"/>
      <c r="M102" s="2115"/>
      <c r="N102" s="2515"/>
      <c r="O102" s="2516">
        <v>1</v>
      </c>
      <c r="P102" s="2517" t="s">
        <v>19</v>
      </c>
      <c r="Q102" s="2520" t="s">
        <v>28</v>
      </c>
      <c r="R102" s="2520" t="s">
        <v>28</v>
      </c>
      <c r="S102" s="2520" t="s">
        <v>28</v>
      </c>
      <c r="T102" s="2520" t="s">
        <v>28</v>
      </c>
      <c r="U102" s="2520" t="s">
        <v>28</v>
      </c>
      <c r="V102" s="2520" t="s">
        <v>28</v>
      </c>
      <c r="W102" s="2520" t="s">
        <v>28</v>
      </c>
      <c r="X102" s="2520" t="s">
        <v>28</v>
      </c>
      <c r="Y102" s="2520"/>
      <c r="Z102" s="1182"/>
      <c r="AA102" s="1183"/>
      <c r="AB102" s="1183"/>
      <c r="AC102" s="1187"/>
      <c r="AD102" s="1187"/>
      <c r="AE102" s="1188"/>
      <c r="AF102" s="2513"/>
      <c r="AG102" s="2514"/>
      <c r="AH102" s="2514"/>
      <c r="AI102" s="2513"/>
      <c r="AJ102" s="2514"/>
      <c r="AK102" s="2514"/>
      <c r="AL102" s="1995"/>
      <c r="AM102" s="1830"/>
      <c r="AN102" s="1830"/>
      <c r="AO102" s="1830"/>
      <c r="AP102" s="1830"/>
      <c r="AQ102" s="1830"/>
      <c r="AR102" s="1830"/>
      <c r="AS102" s="1830"/>
      <c r="AT102" s="1830"/>
      <c r="AU102" s="1830"/>
      <c r="AV102" s="1830"/>
      <c r="AW102" s="1830"/>
      <c r="AX102" s="1830"/>
      <c r="AY102" s="1830"/>
      <c r="AZ102" s="1830"/>
      <c r="BA102" s="1830"/>
      <c r="BB102" s="1830"/>
      <c r="BC102" s="1830"/>
      <c r="BD102" s="1830"/>
      <c r="BE102" s="1830"/>
      <c r="BF102" s="1830"/>
    </row>
    <row s="1642" customFormat="1" customHeight="1" ht="11.25">
      <c r="A103" s="1173"/>
      <c r="B103" s="1173"/>
      <c r="C103" s="1173"/>
      <c r="D103" s="1167"/>
      <c r="E103" s="1177"/>
      <c r="F103" s="1836"/>
      <c r="G103" s="1837"/>
      <c r="H103" s="2522"/>
      <c r="I103" s="2523"/>
      <c r="J103" s="2492"/>
      <c r="K103" s="2524"/>
      <c r="L103" s="2114"/>
      <c r="M103" s="2115"/>
      <c r="N103" s="2515"/>
      <c r="O103" s="2516"/>
      <c r="P103" s="2518"/>
      <c r="Q103" s="2520"/>
      <c r="R103" s="2520"/>
      <c r="S103" s="2521"/>
      <c r="T103" s="2520"/>
      <c r="U103" s="2520"/>
      <c r="V103" s="2520"/>
      <c r="W103" s="2520"/>
      <c r="X103" s="2520"/>
      <c r="Y103" s="2520"/>
      <c r="Z103" s="1835"/>
      <c r="AA103" s="1801">
        <v>1</v>
      </c>
      <c r="AB103" s="1186"/>
      <c r="AC103" s="1176"/>
      <c r="AD103" s="1186">
        <f>AB103</f>
        <v>0</v>
      </c>
      <c r="AE103" s="1176"/>
      <c r="AF103" s="2513"/>
      <c r="AG103" s="2514"/>
      <c r="AH103" s="2514"/>
      <c r="AI103" s="2513"/>
      <c r="AJ103" s="2514"/>
      <c r="AK103" s="2514"/>
      <c r="AL103" s="1995"/>
      <c r="AM103" s="1830"/>
      <c r="AN103" s="1830"/>
      <c r="AO103" s="1830"/>
      <c r="AP103" s="1830"/>
      <c r="AQ103" s="1830"/>
      <c r="AR103" s="1830"/>
      <c r="AS103" s="1830"/>
      <c r="AT103" s="1830"/>
      <c r="AU103" s="1830"/>
      <c r="AV103" s="1830"/>
      <c r="AW103" s="1830"/>
      <c r="AX103" s="1830"/>
      <c r="AY103" s="1830"/>
      <c r="AZ103" s="1830"/>
      <c r="BA103" s="1830"/>
      <c r="BB103" s="1830"/>
      <c r="BC103" s="1830"/>
      <c r="BD103" s="1830"/>
      <c r="BE103" s="1830"/>
      <c r="BF103" s="1830"/>
    </row>
    <row s="1642" customFormat="1" customHeight="1" ht="11.25">
      <c r="A104" s="1173"/>
      <c r="B104" s="1173"/>
      <c r="C104" s="1173"/>
      <c r="D104" s="1167"/>
      <c r="E104" s="1177"/>
      <c r="F104" s="1836"/>
      <c r="G104" s="1837"/>
      <c r="H104" s="2522"/>
      <c r="I104" s="2523"/>
      <c r="J104" s="2492"/>
      <c r="K104" s="2524"/>
      <c r="L104" s="2114"/>
      <c r="M104" s="2115"/>
      <c r="N104" s="2515"/>
      <c r="O104" s="2516"/>
      <c r="P104" s="2519"/>
      <c r="Q104" s="2520"/>
      <c r="R104" s="2520"/>
      <c r="S104" s="2521"/>
      <c r="T104" s="2520"/>
      <c r="U104" s="2520"/>
      <c r="V104" s="2520"/>
      <c r="W104" s="2520"/>
      <c r="X104" s="2520"/>
      <c r="Y104" s="2520"/>
      <c r="Z104" s="1182"/>
      <c r="AA104" s="1183"/>
      <c r="AB104" s="1248" t="s">
        <v>2077</v>
      </c>
      <c r="AC104" s="1187"/>
      <c r="AD104" s="1187"/>
      <c r="AE104" s="1189"/>
      <c r="AF104" s="2513"/>
      <c r="AG104" s="2514"/>
      <c r="AH104" s="2514"/>
      <c r="AI104" s="2513"/>
      <c r="AJ104" s="2514"/>
      <c r="AK104" s="2514"/>
      <c r="AL104" s="1995"/>
      <c r="AM104" s="1830"/>
      <c r="AN104" s="1830"/>
      <c r="AO104" s="1830"/>
      <c r="AP104" s="1830"/>
      <c r="AQ104" s="1830"/>
      <c r="AR104" s="1830"/>
      <c r="AS104" s="1830"/>
      <c r="AT104" s="1830"/>
      <c r="AU104" s="1830"/>
      <c r="AV104" s="1830"/>
      <c r="AW104" s="1830"/>
      <c r="AX104" s="1830"/>
      <c r="AY104" s="1830"/>
      <c r="AZ104" s="1830"/>
      <c r="BA104" s="1830"/>
      <c r="BB104" s="1830"/>
      <c r="BC104" s="1830"/>
      <c r="BD104" s="1830"/>
      <c r="BE104" s="1830"/>
      <c r="BF104" s="1830"/>
    </row>
    <row s="1642" customFormat="1" customHeight="1" ht="11.25">
      <c r="A105" s="1173"/>
      <c r="B105" s="1173"/>
      <c r="C105" s="1173"/>
      <c r="D105" s="1167"/>
      <c r="E105" s="1177"/>
      <c r="F105" s="1836"/>
      <c r="G105" s="1837"/>
      <c r="H105" s="2522"/>
      <c r="I105" s="2523"/>
      <c r="J105" s="2492"/>
      <c r="K105" s="2524"/>
      <c r="L105" s="2114"/>
      <c r="M105" s="2115"/>
      <c r="N105" s="1182"/>
      <c r="O105" s="1183"/>
      <c r="P105" s="1175" t="s">
        <v>2080</v>
      </c>
      <c r="Q105" s="1183"/>
      <c r="R105" s="1183"/>
      <c r="S105" s="1183"/>
      <c r="T105" s="1183"/>
      <c r="U105" s="1183"/>
      <c r="V105" s="1183"/>
      <c r="W105" s="1183"/>
      <c r="X105" s="1183"/>
      <c r="Y105" s="1183"/>
      <c r="Z105" s="1183"/>
      <c r="AA105" s="1183"/>
      <c r="AB105" s="1183"/>
      <c r="AC105" s="1183"/>
      <c r="AD105" s="1183"/>
      <c r="AE105" s="1190"/>
      <c r="AF105" s="2513"/>
      <c r="AG105" s="2514"/>
      <c r="AH105" s="2514"/>
      <c r="AI105" s="2513"/>
      <c r="AJ105" s="2514"/>
      <c r="AK105" s="2514"/>
      <c r="AL105" s="1995"/>
      <c r="AM105" s="1830"/>
      <c r="AN105" s="1830"/>
      <c r="AO105" s="1830"/>
      <c r="AP105" s="1830"/>
      <c r="AQ105" s="1830"/>
      <c r="AR105" s="1830"/>
      <c r="AS105" s="1830"/>
      <c r="AT105" s="1830"/>
      <c r="AU105" s="1830"/>
      <c r="AV105" s="1830"/>
      <c r="AW105" s="1830"/>
      <c r="AX105" s="1830"/>
      <c r="AY105" s="1830"/>
      <c r="AZ105" s="1830"/>
      <c r="BA105" s="1830"/>
      <c r="BB105" s="1830"/>
      <c r="BC105" s="1830"/>
      <c r="BD105" s="1830"/>
      <c r="BE105" s="1830"/>
      <c r="BF105" s="1830"/>
    </row>
    <row r="107" s="1822" customFormat="1" customHeight="1" ht="11.25">
      <c r="A107" s="1822" t="s">
        <v>2081</v>
      </c>
    </row>
    <row customHeight="1" ht="17.25"/>
    <row s="932" customFormat="1" customHeight="1" ht="21">
      <c r="A109" s="1174"/>
      <c r="B109" s="947"/>
      <c r="D109" s="931"/>
      <c r="E109" s="946" t="s">
        <v>28</v>
      </c>
      <c r="F109" s="1128">
        <f>INDEX(IP_MAIN_LIST_NAME_IP,MATCH(A109,IP_MAIN_LIST_IP_ID,0))&amp;" ("&amp;INDEX(IP_MAIN_START_DATE,MATCH(A109,IP_MAIN_LIST_IP_ID,0))&amp;"-"&amp;INDEX(IP_MAIN_END_DATE,MATCH(A109,IP_MAIN_LIST_IP_ID,0))&amp;")"</f>
      </c>
      <c r="G109" s="1210"/>
      <c r="H109" s="1211"/>
      <c r="I109" s="1211"/>
      <c r="J109" s="1211"/>
      <c r="K109" s="1211"/>
      <c r="L109" s="1211"/>
      <c r="M109" s="1211"/>
      <c r="N109" s="1211"/>
      <c r="O109" s="1210"/>
      <c r="P109" s="1210"/>
      <c r="Q109" s="1210"/>
      <c r="R109" s="1210"/>
      <c r="S109" s="1210"/>
      <c r="T109" s="1210"/>
      <c r="U109" s="1212"/>
      <c r="V109" s="1212"/>
      <c r="W109" s="1212"/>
      <c r="X109" s="1212"/>
      <c r="Y109" s="1212"/>
      <c r="Z109" s="1212"/>
      <c r="AA109" s="1212"/>
      <c r="AB109" s="1210"/>
      <c r="AC109" s="1211"/>
      <c r="AD109" s="1211"/>
      <c r="AE109" s="1211"/>
      <c r="AF109" s="1211"/>
      <c r="AG109" s="1211"/>
      <c r="AH109" s="1211"/>
      <c r="AI109" s="1211"/>
      <c r="AJ109" s="1211"/>
      <c r="AK109" s="1211"/>
      <c r="AL109" s="1211"/>
      <c r="AM109" s="1211"/>
      <c r="AN109" s="1211"/>
      <c r="AO109" s="1211"/>
      <c r="AP109" s="1211"/>
      <c r="AQ109" s="1211"/>
      <c r="AR109" s="1211"/>
      <c r="AS109" s="1211"/>
      <c r="AT109" s="1211"/>
      <c r="AU109" s="1211"/>
      <c r="AV109" s="1211"/>
      <c r="AW109" s="1211"/>
      <c r="AX109" s="1211"/>
      <c r="AY109" s="1211"/>
      <c r="AZ109" s="1211"/>
      <c r="BA109" s="1211"/>
      <c r="BB109" s="1211"/>
      <c r="BC109" s="1211"/>
      <c r="BD109" s="1211"/>
      <c r="BE109" s="1211"/>
      <c r="BF109" s="1211"/>
      <c r="BG109" s="1211"/>
      <c r="BH109" s="1211"/>
      <c r="BI109" s="1211"/>
      <c r="BJ109" s="1211"/>
      <c r="BK109" s="1211"/>
      <c r="BL109" s="1211"/>
      <c r="BM109" s="1211"/>
      <c r="BN109" s="1211"/>
      <c r="BO109" s="1211"/>
      <c r="BP109" s="1211"/>
      <c r="BQ109" s="1211"/>
      <c r="BR109" s="1211"/>
      <c r="BS109" s="1211"/>
      <c r="BT109" s="1211"/>
      <c r="BU109" s="1211"/>
      <c r="BV109" s="1211"/>
      <c r="BW109" s="1211"/>
      <c r="BX109" s="1211"/>
      <c r="BY109" s="1211"/>
      <c r="BZ109" s="1211"/>
      <c r="CA109" s="1211"/>
      <c r="CB109" s="1211"/>
      <c r="CC109" s="1211"/>
      <c r="CD109" s="1211"/>
      <c r="CE109" s="1211"/>
      <c r="CF109" s="1211"/>
      <c r="CG109" s="1211"/>
      <c r="CH109" s="1211"/>
      <c r="CI109" s="1211"/>
      <c r="CJ109" s="1211"/>
      <c r="CK109" s="1211"/>
      <c r="CL109" s="1213"/>
      <c r="CM109" s="1213"/>
      <c r="CN109" s="1213"/>
      <c r="CO109" s="1213"/>
      <c r="CP109" s="1213"/>
      <c r="CQ109" s="1213"/>
      <c r="CR109" s="1213"/>
      <c r="CS109" s="1213"/>
      <c r="CT109" s="1213"/>
      <c r="CU109" s="1213"/>
      <c r="CV109" s="1213"/>
      <c r="CW109" s="1213"/>
      <c r="CX109" s="1213"/>
      <c r="CY109" s="1213"/>
      <c r="CZ109" s="1213"/>
      <c r="DA109" s="1213"/>
      <c r="DB109" s="1213"/>
      <c r="DC109" s="1213"/>
      <c r="DD109" s="1213"/>
      <c r="DE109" s="1213"/>
      <c r="DF109" s="1213"/>
      <c r="DG109" s="1213"/>
      <c r="DH109" s="1213"/>
      <c r="DI109" s="1213"/>
      <c r="DJ109" s="1213"/>
      <c r="DK109" s="1213"/>
      <c r="DL109" s="1213"/>
      <c r="DM109" s="1213"/>
      <c r="DN109" s="1213"/>
      <c r="DO109" s="1213"/>
      <c r="DP109" s="1213"/>
      <c r="DQ109" s="1213"/>
      <c r="DR109" s="1213"/>
      <c r="DS109" s="1213"/>
      <c r="DT109" s="1213"/>
      <c r="DU109" s="1213"/>
      <c r="DV109" s="1213"/>
      <c r="DW109" s="1213"/>
      <c r="DX109" s="1213"/>
      <c r="DY109" s="1213"/>
      <c r="DZ109" s="1213"/>
      <c r="EA109" s="1213"/>
      <c r="EB109" s="1213"/>
      <c r="EC109" s="1213"/>
      <c r="ED109" s="1213"/>
      <c r="EE109" s="1213"/>
      <c r="EF109" s="1213"/>
      <c r="EG109" s="1213"/>
      <c r="EH109" s="1213"/>
      <c r="EI109" s="1213"/>
      <c r="EJ109" s="1213"/>
      <c r="EK109" s="1213"/>
      <c r="EL109" s="1213"/>
      <c r="EM109" s="1213"/>
      <c r="EN109" s="1213"/>
      <c r="EO109" s="1213"/>
      <c r="EP109" s="1213"/>
      <c r="EQ109" s="1213"/>
      <c r="ER109" s="1213"/>
      <c r="ES109" s="1213"/>
      <c r="ET109" s="1213"/>
      <c r="EU109" s="1213"/>
      <c r="EV109" s="1213"/>
      <c r="EW109" s="1213"/>
      <c r="EX109" s="1213"/>
      <c r="EY109" s="1213"/>
      <c r="EZ109" s="1213"/>
      <c r="FA109" s="1213"/>
      <c r="FB109" s="1213"/>
      <c r="FC109" s="1213"/>
      <c r="FD109" s="1213"/>
      <c r="FE109" s="1213"/>
      <c r="FF109" s="1213"/>
      <c r="FG109" s="1213"/>
      <c r="FH109" s="1213"/>
      <c r="FI109" s="1213"/>
      <c r="FJ109" s="1213"/>
      <c r="FK109" s="1213"/>
      <c r="FL109" s="1213"/>
      <c r="FM109" s="1213"/>
      <c r="FN109" s="1213"/>
      <c r="FO109" s="1213"/>
      <c r="FP109" s="1213"/>
      <c r="FQ109" s="1213"/>
      <c r="FR109" s="1213"/>
      <c r="FS109" s="1213"/>
      <c r="FT109" s="1213"/>
      <c r="FU109" s="1213"/>
      <c r="FV109" s="1214"/>
      <c r="FW109" s="1208"/>
      <c r="FX109" s="1209"/>
    </row>
    <row s="932" customFormat="1" customHeight="1" ht="24.75">
      <c r="B110" s="930"/>
      <c r="C110" s="931"/>
      <c r="D110" s="931"/>
      <c r="E110" s="1842"/>
      <c r="F110" s="1215">
        <v>1</v>
      </c>
      <c r="G110" s="1216"/>
      <c r="H110" s="1217"/>
      <c r="I110" s="1989"/>
      <c r="J110" s="1218"/>
      <c r="K110" s="1218"/>
      <c r="L110" s="1218"/>
      <c r="M110" s="1218"/>
      <c r="N110" s="1218"/>
      <c r="O110" s="1219"/>
      <c r="P110" s="1219"/>
      <c r="Q110" s="1219"/>
      <c r="R110" s="1219"/>
      <c r="S110" s="1219"/>
      <c r="T110" s="1219"/>
      <c r="U110" s="1219"/>
      <c r="V110" s="1219"/>
      <c r="W110" s="1219"/>
      <c r="X110" s="1219"/>
      <c r="Y110" s="1219"/>
      <c r="Z110" s="1219"/>
      <c r="AA110" s="1219"/>
      <c r="AB110" s="1219"/>
      <c r="AC110" s="1218"/>
      <c r="AD110" s="1218"/>
      <c r="AE110" s="1218"/>
      <c r="AF110" s="1218"/>
      <c r="AG110" s="1218"/>
      <c r="AH110" s="1218"/>
      <c r="AI110" s="1218"/>
      <c r="AJ110" s="1218"/>
      <c r="AK110" s="1218"/>
      <c r="AL110" s="1218"/>
      <c r="AM110" s="1218"/>
      <c r="AN110" s="1218"/>
      <c r="AO110" s="1218"/>
      <c r="AP110" s="1218"/>
      <c r="AQ110" s="1218"/>
      <c r="AR110" s="1218"/>
      <c r="AS110" s="1218"/>
      <c r="AT110" s="1218"/>
      <c r="AU110" s="1218"/>
      <c r="AV110" s="1218"/>
      <c r="AW110" s="1218"/>
      <c r="AX110" s="1218"/>
      <c r="AY110" s="1218"/>
      <c r="AZ110" s="1218"/>
      <c r="BA110" s="1218"/>
      <c r="BB110" s="1218"/>
      <c r="BC110" s="1218"/>
      <c r="BD110" s="1218"/>
      <c r="BE110" s="1218"/>
      <c r="BF110" s="1218"/>
      <c r="BG110" s="1218"/>
      <c r="BH110" s="1218"/>
      <c r="BI110" s="1218"/>
      <c r="BJ110" s="1218"/>
      <c r="BK110" s="1218"/>
      <c r="BL110" s="1218"/>
      <c r="BM110" s="1218"/>
      <c r="BN110" s="1218"/>
      <c r="BO110" s="1218"/>
      <c r="BP110" s="1218"/>
      <c r="BQ110" s="1218"/>
      <c r="BR110" s="1218"/>
      <c r="BS110" s="1218"/>
      <c r="BT110" s="1219"/>
      <c r="BU110" s="1219"/>
      <c r="BV110" s="1219"/>
      <c r="BW110" s="1219"/>
      <c r="BX110" s="1219"/>
      <c r="BY110" s="1219"/>
      <c r="BZ110" s="1219"/>
      <c r="CA110" s="1219"/>
      <c r="CB110" s="1219"/>
      <c r="CC110" s="1219"/>
      <c r="CD110" s="1219"/>
      <c r="CE110" s="1219"/>
      <c r="CF110" s="1219"/>
      <c r="CG110" s="1219"/>
      <c r="CH110" s="1219"/>
      <c r="CI110" s="1219"/>
      <c r="CJ110" s="1219"/>
      <c r="CK110" s="1219"/>
      <c r="CL110" s="1218"/>
      <c r="CM110" s="1218"/>
      <c r="CN110" s="1218"/>
      <c r="CO110" s="1218"/>
      <c r="CP110" s="1218"/>
      <c r="CQ110" s="1218"/>
      <c r="CR110" s="1218"/>
      <c r="CS110" s="1218"/>
      <c r="CT110" s="1218"/>
      <c r="CU110" s="1218"/>
      <c r="CV110" s="1218"/>
      <c r="CW110" s="1218"/>
      <c r="CX110" s="1218"/>
      <c r="CY110" s="1219"/>
      <c r="CZ110" s="1219"/>
      <c r="DA110" s="1219"/>
      <c r="DB110" s="1219"/>
      <c r="DC110" s="1219"/>
      <c r="DD110" s="1219"/>
      <c r="DE110" s="1219"/>
      <c r="DF110" s="1219"/>
      <c r="DG110" s="1219"/>
      <c r="DH110" s="1219"/>
      <c r="DI110" s="1219"/>
      <c r="DJ110" s="1219"/>
      <c r="DK110" s="1218"/>
      <c r="DL110" s="1218"/>
      <c r="DM110" s="1218"/>
      <c r="DN110" s="1218"/>
      <c r="DO110" s="1218"/>
      <c r="DP110" s="1218"/>
      <c r="DQ110" s="1218"/>
      <c r="DR110" s="1218"/>
      <c r="DS110" s="1218"/>
      <c r="DT110" s="1218"/>
      <c r="DU110" s="1218"/>
      <c r="DV110" s="1218"/>
      <c r="DW110" s="1218"/>
      <c r="DX110" s="1218"/>
      <c r="DY110" s="1218"/>
      <c r="DZ110" s="1218"/>
      <c r="EA110" s="1218"/>
      <c r="EB110" s="1218"/>
      <c r="EC110" s="1218"/>
      <c r="ED110" s="1218"/>
      <c r="EE110" s="1218"/>
      <c r="EF110" s="1218"/>
      <c r="EG110" s="1218"/>
      <c r="EH110" s="1218"/>
      <c r="EI110" s="1218"/>
      <c r="EJ110" s="1218"/>
      <c r="EK110" s="1218"/>
      <c r="EL110" s="1218"/>
      <c r="EM110" s="1218"/>
      <c r="EN110" s="1218"/>
      <c r="EO110" s="1218"/>
      <c r="EP110" s="1218"/>
      <c r="EQ110" s="1218"/>
      <c r="ER110" s="1218"/>
      <c r="ES110" s="1218"/>
      <c r="ET110" s="1218"/>
      <c r="EU110" s="1218"/>
      <c r="EV110" s="1218"/>
      <c r="EW110" s="1218"/>
      <c r="EX110" s="1218"/>
      <c r="EY110" s="1218"/>
      <c r="EZ110" s="1218"/>
      <c r="FA110" s="1218"/>
      <c r="FB110" s="1218"/>
      <c r="FC110" s="1218"/>
      <c r="FD110" s="1218"/>
      <c r="FE110" s="1218"/>
      <c r="FF110" s="1218"/>
      <c r="FG110" s="1218"/>
      <c r="FH110" s="1218"/>
      <c r="FI110" s="1218"/>
      <c r="FJ110" s="1218"/>
      <c r="FK110" s="1218"/>
      <c r="FL110" s="1218"/>
      <c r="FM110" s="1218"/>
      <c r="FN110" s="1218"/>
      <c r="FO110" s="1218"/>
      <c r="FP110" s="1218"/>
      <c r="FQ110" s="1218"/>
      <c r="FR110" s="1218"/>
      <c r="FS110" s="1218"/>
      <c r="FT110" s="1218"/>
      <c r="FU110" s="1218"/>
      <c r="FV110" s="1218"/>
      <c r="FW110" s="1218"/>
      <c r="FX110" s="1209"/>
    </row>
    <row s="932" customFormat="1" customHeight="1" ht="12">
      <c r="A111" s="931"/>
      <c r="B111" s="930"/>
      <c r="C111" s="931"/>
      <c r="D111" s="931"/>
      <c r="E111" s="931"/>
      <c r="F111" s="1220"/>
      <c r="G111" s="1807" t="s">
        <v>2082</v>
      </c>
      <c r="H111" s="1221"/>
      <c r="I111" s="1221"/>
      <c r="J111" s="1221"/>
      <c r="K111" s="1221"/>
      <c r="L111" s="1221"/>
      <c r="M111" s="1221"/>
      <c r="N111" s="1221"/>
      <c r="O111" s="1221"/>
      <c r="P111" s="1221"/>
      <c r="Q111" s="1221"/>
      <c r="R111" s="1221"/>
      <c r="S111" s="1221"/>
      <c r="T111" s="1221"/>
      <c r="U111" s="1221"/>
      <c r="V111" s="1221"/>
      <c r="W111" s="1221"/>
      <c r="X111" s="1221"/>
      <c r="Y111" s="1221"/>
      <c r="Z111" s="1221"/>
      <c r="AA111" s="1221"/>
      <c r="AB111" s="1221"/>
      <c r="AC111" s="1221"/>
      <c r="AD111" s="1221"/>
      <c r="AE111" s="1221"/>
      <c r="AF111" s="1221"/>
      <c r="AG111" s="1221"/>
      <c r="AH111" s="1221"/>
      <c r="AI111" s="1221"/>
      <c r="AJ111" s="1221"/>
      <c r="AK111" s="1221"/>
      <c r="AL111" s="1221"/>
      <c r="AM111" s="1221"/>
      <c r="AN111" s="1221"/>
      <c r="AO111" s="1221"/>
      <c r="AP111" s="1221"/>
      <c r="AQ111" s="1221"/>
      <c r="AR111" s="1221"/>
      <c r="AS111" s="1221"/>
      <c r="AT111" s="1221"/>
      <c r="AU111" s="1221"/>
      <c r="AV111" s="1221"/>
      <c r="AW111" s="1221"/>
      <c r="AX111" s="1221"/>
      <c r="AY111" s="1221"/>
      <c r="AZ111" s="1221"/>
      <c r="BA111" s="1221"/>
      <c r="BB111" s="1221"/>
      <c r="BC111" s="1221"/>
      <c r="BD111" s="1221"/>
      <c r="BE111" s="1221"/>
      <c r="BF111" s="1221"/>
      <c r="BG111" s="1221"/>
      <c r="BH111" s="1221"/>
      <c r="BI111" s="1221"/>
      <c r="BJ111" s="1221"/>
      <c r="BK111" s="1221"/>
      <c r="BL111" s="1221"/>
      <c r="BM111" s="1221"/>
      <c r="BN111" s="1221"/>
      <c r="BO111" s="1221"/>
      <c r="BP111" s="1221"/>
      <c r="BQ111" s="1221"/>
      <c r="BR111" s="1221"/>
      <c r="BS111" s="1221"/>
      <c r="BT111" s="1221"/>
      <c r="BU111" s="1221"/>
      <c r="BV111" s="1221"/>
      <c r="BW111" s="1221"/>
      <c r="BX111" s="1221"/>
      <c r="BY111" s="1221"/>
      <c r="BZ111" s="1221"/>
      <c r="CA111" s="1221"/>
      <c r="CB111" s="1221"/>
      <c r="CC111" s="1221"/>
      <c r="CD111" s="1221"/>
      <c r="CE111" s="1221"/>
      <c r="CF111" s="1221"/>
      <c r="CG111" s="1221"/>
      <c r="CH111" s="1221"/>
      <c r="CI111" s="1221"/>
      <c r="CJ111" s="1221"/>
      <c r="CK111" s="1221"/>
      <c r="CL111" s="1221"/>
      <c r="CM111" s="1221"/>
      <c r="CN111" s="1221"/>
      <c r="CO111" s="1221"/>
      <c r="CP111" s="1221"/>
      <c r="CQ111" s="1221"/>
      <c r="CR111" s="1221"/>
      <c r="CS111" s="1221"/>
      <c r="CT111" s="1221"/>
      <c r="CU111" s="1221"/>
      <c r="CV111" s="1221"/>
      <c r="CW111" s="1221"/>
      <c r="CX111" s="1221"/>
      <c r="CY111" s="1221"/>
      <c r="CZ111" s="1221"/>
      <c r="DA111" s="1221"/>
      <c r="DB111" s="1221"/>
      <c r="DC111" s="1221"/>
      <c r="DD111" s="1221"/>
      <c r="DE111" s="1221"/>
      <c r="DF111" s="1221"/>
      <c r="DG111" s="1221"/>
      <c r="DH111" s="1221"/>
      <c r="DI111" s="1221"/>
      <c r="DJ111" s="1221"/>
      <c r="DK111" s="1221"/>
      <c r="DL111" s="1221"/>
      <c r="DM111" s="1221"/>
      <c r="DN111" s="1221"/>
      <c r="DO111" s="1221"/>
      <c r="DP111" s="1221"/>
      <c r="DQ111" s="1221"/>
      <c r="DR111" s="1221"/>
      <c r="DS111" s="1221"/>
      <c r="DT111" s="1221"/>
      <c r="DU111" s="1221"/>
      <c r="DV111" s="1221"/>
      <c r="DW111" s="1221"/>
      <c r="DX111" s="1221"/>
      <c r="DY111" s="1221"/>
      <c r="DZ111" s="1221"/>
      <c r="EA111" s="1221"/>
      <c r="EB111" s="1221"/>
      <c r="EC111" s="1221"/>
      <c r="ED111" s="1221"/>
      <c r="EE111" s="1221"/>
      <c r="EF111" s="1221"/>
      <c r="EG111" s="1221"/>
      <c r="EH111" s="1221"/>
      <c r="EI111" s="1221"/>
      <c r="EJ111" s="1221"/>
      <c r="EK111" s="1221"/>
      <c r="EL111" s="1221"/>
      <c r="EM111" s="1221"/>
      <c r="EN111" s="1221"/>
      <c r="EO111" s="1221"/>
      <c r="EP111" s="1221"/>
      <c r="EQ111" s="1221"/>
      <c r="ER111" s="1221"/>
      <c r="ES111" s="1221"/>
      <c r="ET111" s="1221"/>
      <c r="EU111" s="1221"/>
      <c r="EV111" s="1221"/>
      <c r="EW111" s="1221"/>
      <c r="EX111" s="1221"/>
      <c r="EY111" s="1221"/>
      <c r="EZ111" s="1221"/>
      <c r="FA111" s="1221"/>
      <c r="FB111" s="1221"/>
      <c r="FC111" s="1221"/>
      <c r="FD111" s="1221"/>
      <c r="FE111" s="1221"/>
      <c r="FF111" s="1221"/>
      <c r="FG111" s="1221"/>
      <c r="FH111" s="1221"/>
      <c r="FI111" s="1221"/>
      <c r="FJ111" s="1221"/>
      <c r="FK111" s="1221"/>
      <c r="FL111" s="1221"/>
      <c r="FM111" s="1221"/>
      <c r="FN111" s="1221"/>
      <c r="FO111" s="1221"/>
      <c r="FP111" s="1221"/>
      <c r="FQ111" s="1221"/>
      <c r="FR111" s="1221"/>
      <c r="FS111" s="1221"/>
      <c r="FT111" s="1221"/>
      <c r="FU111" s="1221"/>
      <c r="FV111" s="1221"/>
      <c r="FW111" s="1222"/>
      <c r="FX111" s="1223"/>
      <c r="FY111" s="948"/>
      <c r="FZ111" s="948"/>
      <c r="GA111" s="948"/>
      <c r="GB111" s="948"/>
    </row>
    <row r="113" s="1822" customFormat="1" customHeight="1" ht="11.25">
      <c r="A113" s="1822" t="s">
        <v>2083</v>
      </c>
    </row>
    <row r="115" s="1857" customFormat="1" customHeight="1" ht="15">
      <c r="A115" s="630"/>
      <c r="B115" s="631"/>
      <c r="C115" s="631"/>
      <c r="D115" s="2585" t="s">
        <v>108</v>
      </c>
      <c r="E115" s="2384" t="s">
        <v>201</v>
      </c>
      <c r="F115" s="2385"/>
      <c r="G115" s="2386"/>
      <c r="H115" s="2390" t="str">
        <f>IF(A115="","",INDEX(DIFFERENTIATION_UNMERGE_VD,MATCH(A115,DIFFERENTIATION_ID_DIFF,0)))</f>
        <v/>
      </c>
      <c r="I115" s="2390"/>
      <c r="J115" s="2390"/>
      <c r="K115" s="2390"/>
      <c r="L115" s="2390"/>
      <c r="M115" s="2390"/>
      <c r="N115" s="2390"/>
      <c r="O115" s="2390"/>
      <c r="P115" s="2390"/>
      <c r="Q115" s="2390"/>
      <c r="R115" s="2390"/>
      <c r="S115" s="726"/>
      <c r="T115" s="723"/>
      <c r="U115" s="632"/>
      <c r="V115" s="632"/>
      <c r="W115" s="633"/>
      <c r="X115" s="633"/>
      <c r="Y115" s="633"/>
      <c r="Z115" s="633"/>
      <c r="AA115" s="634"/>
      <c r="AB115" s="635"/>
      <c r="AC115" s="2382"/>
      <c r="AD115" s="636"/>
      <c r="AE115" s="637" t="s">
        <v>28</v>
      </c>
      <c r="AF115" s="637"/>
      <c r="AG115" s="638" t="s">
        <v>771</v>
      </c>
      <c r="AH115" s="639">
        <v>3</v>
      </c>
      <c r="AI115" s="632"/>
      <c r="AJ115" s="632"/>
      <c r="AK115" s="632"/>
      <c r="AL115" s="632"/>
      <c r="AM115" s="632"/>
      <c r="AN115" s="632"/>
      <c r="AO115" s="632"/>
      <c r="AP115" s="632"/>
      <c r="AQ115" s="632"/>
      <c r="AR115" s="632"/>
      <c r="AS115" s="632"/>
      <c r="AT115" s="632"/>
      <c r="AU115" s="632"/>
      <c r="AV115" s="632"/>
      <c r="AW115" s="632"/>
      <c r="AX115" s="632"/>
      <c r="AY115" s="632"/>
      <c r="AZ115" s="632"/>
      <c r="BA115" s="632"/>
      <c r="BB115" s="632"/>
      <c r="BC115" s="632"/>
      <c r="BD115" s="632"/>
      <c r="BE115" s="632"/>
      <c r="BF115" s="632"/>
      <c r="BG115" s="632"/>
      <c r="BH115" s="632"/>
      <c r="BI115" s="632"/>
      <c r="BJ115" s="632"/>
      <c r="BK115" s="632"/>
      <c r="BL115" s="632"/>
      <c r="BM115" s="632"/>
      <c r="BN115" s="632"/>
      <c r="BO115" s="632"/>
      <c r="BP115" s="632"/>
      <c r="BQ115" s="632"/>
      <c r="BR115" s="632"/>
      <c r="BS115" s="632"/>
      <c r="BT115" s="632"/>
      <c r="BU115" s="632"/>
      <c r="BV115" s="633"/>
      <c r="BW115" s="633"/>
      <c r="BX115" s="633"/>
      <c r="BY115" s="633"/>
      <c r="BZ115" s="633"/>
      <c r="CA115" s="633"/>
      <c r="CB115" s="633"/>
      <c r="CC115" s="633"/>
      <c r="CD115" s="633"/>
      <c r="CE115" s="633"/>
    </row>
    <row s="1857" customFormat="1" customHeight="1" ht="15">
      <c r="A116" s="630"/>
      <c r="B116" s="631"/>
      <c r="C116" s="631"/>
      <c r="D116" s="2586"/>
      <c r="E116" s="2384" t="s">
        <v>726</v>
      </c>
      <c r="F116" s="2385"/>
      <c r="G116" s="2386"/>
      <c r="H116" s="2390" t="str">
        <f>IF(A115="","",INDEX(DIFFERENTIATION_UNMERGE_AREA,MATCH(A115,DIFFERENTIATION_ID_DIFF,0)))</f>
        <v/>
      </c>
      <c r="I116" s="2390"/>
      <c r="J116" s="2390"/>
      <c r="K116" s="2390"/>
      <c r="L116" s="2390"/>
      <c r="M116" s="2390"/>
      <c r="N116" s="2390"/>
      <c r="O116" s="2390"/>
      <c r="P116" s="2390"/>
      <c r="Q116" s="2390"/>
      <c r="R116" s="2390"/>
      <c r="S116" s="726"/>
      <c r="T116" s="723"/>
      <c r="U116" s="632"/>
      <c r="V116" s="632"/>
      <c r="W116" s="633"/>
      <c r="X116" s="633"/>
      <c r="Y116" s="633"/>
      <c r="Z116" s="633"/>
      <c r="AA116" s="634"/>
      <c r="AB116" s="635"/>
      <c r="AC116" s="2382"/>
      <c r="AD116" s="636"/>
      <c r="AE116" s="637"/>
      <c r="AF116" s="637"/>
      <c r="AG116" s="638"/>
      <c r="AH116" s="639"/>
      <c r="AI116" s="632"/>
      <c r="AJ116" s="632"/>
      <c r="AK116" s="632"/>
      <c r="AL116" s="632"/>
      <c r="AM116" s="632"/>
      <c r="AN116" s="632"/>
      <c r="AO116" s="632"/>
      <c r="AP116" s="632"/>
      <c r="AQ116" s="632"/>
      <c r="AR116" s="632"/>
      <c r="AS116" s="632"/>
      <c r="AT116" s="632"/>
      <c r="AU116" s="632"/>
      <c r="AV116" s="632"/>
      <c r="AW116" s="632"/>
      <c r="AX116" s="632"/>
      <c r="AY116" s="632"/>
      <c r="AZ116" s="632"/>
      <c r="BA116" s="632"/>
      <c r="BB116" s="632"/>
      <c r="BC116" s="632"/>
      <c r="BD116" s="632"/>
      <c r="BE116" s="632"/>
      <c r="BF116" s="632"/>
      <c r="BG116" s="632"/>
      <c r="BH116" s="632"/>
      <c r="BI116" s="632"/>
      <c r="BJ116" s="632"/>
      <c r="BK116" s="632"/>
      <c r="BL116" s="632"/>
      <c r="BM116" s="632"/>
      <c r="BN116" s="632"/>
      <c r="BO116" s="632"/>
      <c r="BP116" s="632"/>
      <c r="BQ116" s="632"/>
      <c r="BR116" s="632"/>
      <c r="BS116" s="632"/>
      <c r="BT116" s="632"/>
      <c r="BU116" s="632"/>
      <c r="BV116" s="633"/>
      <c r="BW116" s="633"/>
      <c r="BX116" s="633"/>
      <c r="BY116" s="633"/>
      <c r="BZ116" s="633"/>
      <c r="CA116" s="633"/>
      <c r="CB116" s="633"/>
      <c r="CC116" s="633"/>
      <c r="CD116" s="633"/>
      <c r="CE116" s="633"/>
    </row>
    <row s="1857" customFormat="1" customHeight="1" ht="15">
      <c r="A117" s="630"/>
      <c r="B117" s="631"/>
      <c r="C117" s="631"/>
      <c r="D117" s="2586"/>
      <c r="E117" s="2384" t="s">
        <v>727</v>
      </c>
      <c r="F117" s="2385"/>
      <c r="G117" s="2386"/>
      <c r="H117" s="2390" t="str">
        <f>IF(A115="","",INDEX(DIFFERENTIATION_UNMERGE_SYSTEM,MATCH(A115,DIFFERENTIATION_ID_DIFF,0)))</f>
        <v/>
      </c>
      <c r="I117" s="2390"/>
      <c r="J117" s="2390"/>
      <c r="K117" s="2390"/>
      <c r="L117" s="2390"/>
      <c r="M117" s="2390"/>
      <c r="N117" s="2390"/>
      <c r="O117" s="2390"/>
      <c r="P117" s="2390"/>
      <c r="Q117" s="2390"/>
      <c r="R117" s="2390"/>
      <c r="S117" s="726"/>
      <c r="T117" s="723"/>
      <c r="U117" s="632"/>
      <c r="V117" s="632"/>
      <c r="W117" s="633"/>
      <c r="X117" s="633"/>
      <c r="Y117" s="633"/>
      <c r="Z117" s="633"/>
      <c r="AA117" s="634"/>
      <c r="AB117" s="635"/>
      <c r="AC117" s="2382"/>
      <c r="AD117" s="636"/>
      <c r="AE117" s="637"/>
      <c r="AF117" s="637"/>
      <c r="AG117" s="638"/>
      <c r="AH117" s="639"/>
      <c r="AI117" s="632"/>
      <c r="AJ117" s="632"/>
      <c r="AK117" s="632"/>
      <c r="AL117" s="632"/>
      <c r="AM117" s="632"/>
      <c r="AN117" s="632"/>
      <c r="AO117" s="632"/>
      <c r="AP117" s="632"/>
      <c r="AQ117" s="632"/>
      <c r="AR117" s="632"/>
      <c r="AS117" s="632"/>
      <c r="AT117" s="632"/>
      <c r="AU117" s="632"/>
      <c r="AV117" s="632"/>
      <c r="AW117" s="632"/>
      <c r="AX117" s="632"/>
      <c r="AY117" s="632"/>
      <c r="AZ117" s="632"/>
      <c r="BA117" s="632"/>
      <c r="BB117" s="632"/>
      <c r="BC117" s="632"/>
      <c r="BD117" s="632"/>
      <c r="BE117" s="632"/>
      <c r="BF117" s="632"/>
      <c r="BG117" s="632"/>
      <c r="BH117" s="632"/>
      <c r="BI117" s="632"/>
      <c r="BJ117" s="632"/>
      <c r="BK117" s="632"/>
      <c r="BL117" s="632"/>
      <c r="BM117" s="632"/>
      <c r="BN117" s="632"/>
      <c r="BO117" s="632"/>
      <c r="BP117" s="632"/>
      <c r="BQ117" s="632"/>
      <c r="BR117" s="632"/>
      <c r="BS117" s="632"/>
      <c r="BT117" s="632"/>
      <c r="BU117" s="632"/>
      <c r="BV117" s="633"/>
      <c r="BW117" s="633"/>
      <c r="BX117" s="633"/>
      <c r="BY117" s="633"/>
      <c r="BZ117" s="633"/>
      <c r="CA117" s="633"/>
      <c r="CB117" s="633"/>
      <c r="CC117" s="633"/>
      <c r="CD117" s="633"/>
      <c r="CE117" s="633"/>
    </row>
    <row s="1857" customFormat="1" customHeight="1" ht="24.75">
      <c r="A118" s="1813"/>
      <c r="B118" s="1167"/>
      <c r="C118" s="419"/>
      <c r="D118" s="2586"/>
      <c r="E118" s="2383" t="s">
        <v>772</v>
      </c>
      <c r="F118" s="2383"/>
      <c r="G118" s="2383"/>
      <c r="H118" s="2383"/>
      <c r="I118" s="2383"/>
      <c r="J118" s="2383"/>
      <c r="K118" s="2383"/>
      <c r="L118" s="2383"/>
      <c r="M118" s="2383"/>
      <c r="N118" s="2383"/>
      <c r="O118" s="2383"/>
      <c r="P118" s="2383"/>
      <c r="Q118" s="565">
        <f>SUMIF(T119:T120,"i",Q119:Q120)</f>
        <v>0</v>
      </c>
      <c r="R118" s="1024"/>
      <c r="S118" s="1805" t="s">
        <v>773</v>
      </c>
      <c r="T118" s="724" t="s">
        <v>774</v>
      </c>
      <c r="U118" s="2381">
        <v>1</v>
      </c>
      <c r="V118" s="2381" t="s">
        <v>737</v>
      </c>
      <c r="W118" s="1167"/>
      <c r="X118" s="1167"/>
      <c r="Y118" s="1167"/>
      <c r="Z118" s="1167"/>
      <c r="AA118" s="1643"/>
      <c r="AB118" s="1167"/>
      <c r="AC118" s="2382"/>
      <c r="AD118" s="636"/>
      <c r="AE118" s="1167"/>
      <c r="AF118" s="1167"/>
      <c r="AG118" s="1643"/>
      <c r="AH118" s="1643"/>
      <c r="AI118" s="1643"/>
      <c r="AJ118" s="1643"/>
      <c r="AK118" s="1643"/>
      <c r="AL118" s="1643"/>
      <c r="AM118" s="1643"/>
      <c r="AN118" s="1643"/>
      <c r="AO118" s="1643"/>
      <c r="AP118" s="1643"/>
      <c r="AQ118" s="1643"/>
      <c r="AR118" s="1643"/>
      <c r="AS118" s="1643"/>
      <c r="AT118" s="1643"/>
      <c r="AU118" s="1643"/>
      <c r="AV118" s="1643"/>
      <c r="AW118" s="1643"/>
      <c r="AX118" s="1643"/>
      <c r="AY118" s="1643"/>
      <c r="AZ118" s="1643"/>
      <c r="BA118" s="1643"/>
      <c r="BB118" s="1643"/>
      <c r="BC118" s="1643"/>
      <c r="BD118" s="1643"/>
      <c r="BE118" s="1643"/>
      <c r="BF118" s="1643"/>
      <c r="BG118" s="1643"/>
      <c r="BH118" s="1643"/>
      <c r="BI118" s="1643"/>
      <c r="BJ118" s="1643"/>
      <c r="BK118" s="1643"/>
      <c r="BL118" s="1643"/>
      <c r="BM118" s="1643"/>
      <c r="BN118" s="1643"/>
      <c r="BO118" s="1643"/>
      <c r="BP118" s="1643"/>
      <c r="BQ118" s="1643"/>
      <c r="BR118" s="1643"/>
      <c r="BS118" s="1643"/>
      <c r="BT118" s="1643"/>
      <c r="BU118" s="1643"/>
      <c r="BV118" s="1167"/>
      <c r="BW118" s="1167"/>
      <c r="BX118" s="1167"/>
      <c r="BY118" s="1167"/>
      <c r="BZ118" s="1167"/>
      <c r="CA118" s="1167"/>
      <c r="CB118" s="1167"/>
      <c r="CC118" s="1167"/>
      <c r="CD118" s="1167"/>
      <c r="CE118" s="1167"/>
    </row>
    <row s="1857" customFormat="1" customHeight="1" ht="11.25" hidden="1">
      <c r="A119" s="1800"/>
      <c r="B119" s="1643"/>
      <c r="C119" s="1643"/>
      <c r="D119" s="2586"/>
      <c r="E119" s="642"/>
      <c r="F119" s="642">
        <v>0</v>
      </c>
      <c r="G119" s="642"/>
      <c r="H119" s="642"/>
      <c r="I119" s="642"/>
      <c r="J119" s="642"/>
      <c r="K119" s="642"/>
      <c r="L119" s="642"/>
      <c r="M119" s="642"/>
      <c r="N119" s="642"/>
      <c r="O119" s="642"/>
      <c r="P119" s="642"/>
      <c r="Q119" s="642"/>
      <c r="R119" s="642"/>
      <c r="S119" s="643"/>
      <c r="T119" s="725"/>
      <c r="U119" s="2381"/>
      <c r="V119" s="2381"/>
      <c r="W119" s="1643"/>
      <c r="X119" s="1643"/>
      <c r="Y119" s="1643"/>
      <c r="Z119" s="1643"/>
      <c r="AA119" s="1643"/>
      <c r="AB119" s="1167"/>
      <c r="AC119" s="2382"/>
      <c r="AD119" s="636"/>
      <c r="AE119" s="1167"/>
      <c r="AF119" s="1167"/>
      <c r="AG119" s="1643"/>
      <c r="AH119" s="1643"/>
      <c r="AI119" s="1643"/>
      <c r="AJ119" s="1643"/>
      <c r="AK119" s="1643"/>
      <c r="AL119" s="1643"/>
      <c r="AM119" s="1643"/>
      <c r="AN119" s="1643"/>
      <c r="AO119" s="1643"/>
      <c r="AP119" s="1643"/>
      <c r="AQ119" s="1643"/>
      <c r="AR119" s="1643"/>
      <c r="AS119" s="1643"/>
      <c r="AT119" s="1643"/>
      <c r="AU119" s="1643"/>
      <c r="AV119" s="1643"/>
      <c r="AW119" s="1643"/>
      <c r="AX119" s="1643"/>
      <c r="AY119" s="1643"/>
      <c r="AZ119" s="1643"/>
      <c r="BA119" s="1643"/>
      <c r="BB119" s="1643"/>
      <c r="BC119" s="1643"/>
      <c r="BD119" s="1643"/>
      <c r="BE119" s="1643"/>
      <c r="BF119" s="1643"/>
      <c r="BG119" s="1643"/>
      <c r="BH119" s="1643"/>
      <c r="BI119" s="1643"/>
      <c r="BJ119" s="1643"/>
      <c r="BK119" s="1643"/>
      <c r="BL119" s="1643"/>
      <c r="BM119" s="1643"/>
      <c r="BN119" s="1643"/>
      <c r="BO119" s="1643"/>
      <c r="BP119" s="1643"/>
      <c r="BQ119" s="1643"/>
      <c r="BR119" s="1643"/>
      <c r="BS119" s="1643"/>
      <c r="BT119" s="1643"/>
      <c r="BU119" s="1643"/>
      <c r="BV119" s="1643"/>
      <c r="BW119" s="1643"/>
      <c r="BX119" s="1643"/>
      <c r="BY119" s="1643"/>
      <c r="BZ119" s="1643"/>
      <c r="CA119" s="1643"/>
      <c r="CB119" s="1643"/>
      <c r="CC119" s="1643"/>
      <c r="CD119" s="1643"/>
      <c r="CE119" s="1643"/>
    </row>
    <row s="1857" customFormat="1" customHeight="1" ht="11.25">
      <c r="A120" s="1813"/>
      <c r="B120" s="1167"/>
      <c r="C120" s="419"/>
      <c r="D120" s="2586"/>
      <c r="E120" s="656" t="s">
        <v>28</v>
      </c>
      <c r="F120" s="1175" t="s">
        <v>28</v>
      </c>
      <c r="G120" s="1175" t="s">
        <v>2084</v>
      </c>
      <c r="H120" s="658" t="s">
        <v>28</v>
      </c>
      <c r="I120" s="658"/>
      <c r="J120" s="658"/>
      <c r="K120" s="658"/>
      <c r="L120" s="658"/>
      <c r="M120" s="658"/>
      <c r="N120" s="658"/>
      <c r="O120" s="658"/>
      <c r="P120" s="658"/>
      <c r="Q120" s="658"/>
      <c r="R120" s="659"/>
      <c r="S120" s="660"/>
      <c r="T120" s="725"/>
      <c r="U120" s="2381"/>
      <c r="V120" s="2381"/>
      <c r="W120" s="1167"/>
      <c r="X120" s="1167"/>
      <c r="Y120" s="1167"/>
      <c r="Z120" s="1167"/>
      <c r="AA120" s="1643"/>
      <c r="AB120" s="1167"/>
      <c r="AC120" s="2382"/>
      <c r="AD120" s="636"/>
      <c r="AE120" s="1167"/>
      <c r="AF120" s="1167"/>
      <c r="AG120" s="1643"/>
      <c r="AH120" s="1643"/>
      <c r="AI120" s="1643"/>
      <c r="AJ120" s="1643"/>
      <c r="AK120" s="1643"/>
      <c r="AL120" s="1643"/>
      <c r="AM120" s="1643"/>
      <c r="AN120" s="1643"/>
      <c r="AO120" s="1643"/>
      <c r="AP120" s="1643"/>
      <c r="AQ120" s="1643"/>
      <c r="AR120" s="1643"/>
      <c r="AS120" s="1643"/>
      <c r="AT120" s="1643"/>
      <c r="AU120" s="1643"/>
      <c r="AV120" s="1643"/>
      <c r="AW120" s="1643"/>
      <c r="AX120" s="1643"/>
      <c r="AY120" s="1643"/>
      <c r="AZ120" s="1643"/>
      <c r="BA120" s="1643"/>
      <c r="BB120" s="1643"/>
      <c r="BC120" s="1643"/>
      <c r="BD120" s="1643"/>
      <c r="BE120" s="1643"/>
      <c r="BF120" s="1643"/>
      <c r="BG120" s="1643"/>
      <c r="BH120" s="1643"/>
      <c r="BI120" s="1643"/>
      <c r="BJ120" s="1643"/>
      <c r="BK120" s="1643"/>
      <c r="BL120" s="1643"/>
      <c r="BM120" s="1643"/>
      <c r="BN120" s="1643"/>
      <c r="BO120" s="1643"/>
      <c r="BP120" s="1643"/>
      <c r="BQ120" s="1643"/>
      <c r="BR120" s="1643"/>
      <c r="BS120" s="1643"/>
      <c r="BT120" s="1643"/>
      <c r="BU120" s="1643"/>
      <c r="BV120" s="1167"/>
      <c r="BW120" s="1167"/>
      <c r="BX120" s="1167"/>
      <c r="BY120" s="1167"/>
      <c r="BZ120" s="1167"/>
      <c r="CA120" s="1167"/>
      <c r="CB120" s="1167"/>
      <c r="CC120" s="1167"/>
      <c r="CD120" s="1167"/>
      <c r="CE120" s="1167"/>
    </row>
    <row s="1857" customFormat="1" customHeight="1" ht="24.75">
      <c r="A121" s="1813"/>
      <c r="B121" s="1167"/>
      <c r="C121" s="419"/>
      <c r="D121" s="2586"/>
      <c r="E121" s="2383" t="s">
        <v>775</v>
      </c>
      <c r="F121" s="2383"/>
      <c r="G121" s="2383"/>
      <c r="H121" s="2383"/>
      <c r="I121" s="2383"/>
      <c r="J121" s="2383"/>
      <c r="K121" s="2383"/>
      <c r="L121" s="2383"/>
      <c r="M121" s="2383"/>
      <c r="N121" s="2383"/>
      <c r="O121" s="2383"/>
      <c r="P121" s="2383"/>
      <c r="Q121" s="565">
        <f>SUMIF(T122:T123,"i",Q122:Q123)</f>
        <v>0</v>
      </c>
      <c r="R121" s="1024"/>
      <c r="S121" s="1805" t="s">
        <v>776</v>
      </c>
      <c r="T121" s="724" t="s">
        <v>774</v>
      </c>
      <c r="U121" s="2381">
        <v>1</v>
      </c>
      <c r="V121" s="2381" t="s">
        <v>737</v>
      </c>
      <c r="W121" s="1167"/>
      <c r="X121" s="1167"/>
      <c r="Y121" s="1167"/>
      <c r="Z121" s="1167"/>
      <c r="AA121" s="1643"/>
      <c r="AB121" s="1167"/>
      <c r="AC121" s="1803"/>
      <c r="AD121" s="636"/>
      <c r="AE121" s="1167"/>
      <c r="AF121" s="1167"/>
      <c r="AG121" s="1643"/>
      <c r="AH121" s="1643"/>
      <c r="AI121" s="1643"/>
      <c r="AJ121" s="1643"/>
      <c r="AK121" s="1643"/>
      <c r="AL121" s="1643"/>
      <c r="AM121" s="1643"/>
      <c r="AN121" s="1643"/>
      <c r="AO121" s="1643"/>
      <c r="AP121" s="1643"/>
      <c r="AQ121" s="1643"/>
      <c r="AR121" s="1643"/>
      <c r="AS121" s="1643"/>
      <c r="AT121" s="1643"/>
      <c r="AU121" s="1643"/>
      <c r="AV121" s="1643"/>
      <c r="AW121" s="1643"/>
      <c r="AX121" s="1643"/>
      <c r="AY121" s="1643"/>
      <c r="AZ121" s="1643"/>
      <c r="BA121" s="1643"/>
      <c r="BB121" s="1643"/>
      <c r="BC121" s="1643"/>
      <c r="BD121" s="1643"/>
      <c r="BE121" s="1643"/>
      <c r="BF121" s="1643"/>
      <c r="BG121" s="1643"/>
      <c r="BH121" s="1643"/>
      <c r="BI121" s="1643"/>
      <c r="BJ121" s="1643"/>
      <c r="BK121" s="1643"/>
      <c r="BL121" s="1643"/>
      <c r="BM121" s="1643"/>
      <c r="BN121" s="1643"/>
      <c r="BO121" s="1643"/>
      <c r="BP121" s="1643"/>
      <c r="BQ121" s="1643"/>
      <c r="BR121" s="1643"/>
      <c r="BS121" s="1643"/>
      <c r="BT121" s="1643"/>
      <c r="BU121" s="1643"/>
      <c r="BV121" s="1167"/>
      <c r="BW121" s="1167"/>
      <c r="BX121" s="1167"/>
      <c r="BY121" s="1167"/>
      <c r="BZ121" s="1167"/>
      <c r="CA121" s="1167"/>
      <c r="CB121" s="1167"/>
      <c r="CC121" s="1167"/>
      <c r="CD121" s="1167"/>
      <c r="CE121" s="1167"/>
    </row>
    <row s="1857" customFormat="1" customHeight="1" ht="11.25" hidden="1">
      <c r="A122" s="1800"/>
      <c r="B122" s="1643"/>
      <c r="C122" s="1643"/>
      <c r="D122" s="2586"/>
      <c r="E122" s="642"/>
      <c r="F122" s="642">
        <v>0</v>
      </c>
      <c r="G122" s="642"/>
      <c r="H122" s="642"/>
      <c r="I122" s="642"/>
      <c r="J122" s="642"/>
      <c r="K122" s="642"/>
      <c r="L122" s="642"/>
      <c r="M122" s="642"/>
      <c r="N122" s="642"/>
      <c r="O122" s="642"/>
      <c r="P122" s="642"/>
      <c r="Q122" s="642"/>
      <c r="R122" s="642"/>
      <c r="S122" s="643"/>
      <c r="T122" s="725"/>
      <c r="U122" s="2381"/>
      <c r="V122" s="2381"/>
      <c r="W122" s="1643"/>
      <c r="X122" s="1643"/>
      <c r="Y122" s="1643"/>
      <c r="Z122" s="1643"/>
      <c r="AA122" s="1643"/>
      <c r="AB122" s="1167"/>
      <c r="AC122" s="1803"/>
      <c r="AD122" s="636"/>
      <c r="AE122" s="1167"/>
      <c r="AF122" s="1167"/>
      <c r="AG122" s="1643"/>
      <c r="AH122" s="1643"/>
      <c r="AI122" s="1643"/>
      <c r="AJ122" s="1643"/>
      <c r="AK122" s="1643"/>
      <c r="AL122" s="1643"/>
      <c r="AM122" s="1643"/>
      <c r="AN122" s="1643"/>
      <c r="AO122" s="1643"/>
      <c r="AP122" s="1643"/>
      <c r="AQ122" s="1643"/>
      <c r="AR122" s="1643"/>
      <c r="AS122" s="1643"/>
      <c r="AT122" s="1643"/>
      <c r="AU122" s="1643"/>
      <c r="AV122" s="1643"/>
      <c r="AW122" s="1643"/>
      <c r="AX122" s="1643"/>
      <c r="AY122" s="1643"/>
      <c r="AZ122" s="1643"/>
      <c r="BA122" s="1643"/>
      <c r="BB122" s="1643"/>
      <c r="BC122" s="1643"/>
      <c r="BD122" s="1643"/>
      <c r="BE122" s="1643"/>
      <c r="BF122" s="1643"/>
      <c r="BG122" s="1643"/>
      <c r="BH122" s="1643"/>
      <c r="BI122" s="1643"/>
      <c r="BJ122" s="1643"/>
      <c r="BK122" s="1643"/>
      <c r="BL122" s="1643"/>
      <c r="BM122" s="1643"/>
      <c r="BN122" s="1643"/>
      <c r="BO122" s="1643"/>
      <c r="BP122" s="1643"/>
      <c r="BQ122" s="1643"/>
      <c r="BR122" s="1643"/>
      <c r="BS122" s="1643"/>
      <c r="BT122" s="1643"/>
      <c r="BU122" s="1643"/>
      <c r="BV122" s="1643"/>
      <c r="BW122" s="1643"/>
      <c r="BX122" s="1643"/>
      <c r="BY122" s="1643"/>
      <c r="BZ122" s="1643"/>
      <c r="CA122" s="1643"/>
      <c r="CB122" s="1643"/>
      <c r="CC122" s="1643"/>
      <c r="CD122" s="1643"/>
      <c r="CE122" s="1643"/>
    </row>
    <row s="1857" customFormat="1" customHeight="1" ht="11.25">
      <c r="A123" s="1813"/>
      <c r="B123" s="1167"/>
      <c r="C123" s="419"/>
      <c r="D123" s="2587"/>
      <c r="E123" s="656" t="s">
        <v>28</v>
      </c>
      <c r="F123" s="1175" t="s">
        <v>28</v>
      </c>
      <c r="G123" s="1175" t="s">
        <v>2084</v>
      </c>
      <c r="H123" s="658" t="s">
        <v>28</v>
      </c>
      <c r="I123" s="658"/>
      <c r="J123" s="658"/>
      <c r="K123" s="658"/>
      <c r="L123" s="658"/>
      <c r="M123" s="658"/>
      <c r="N123" s="658"/>
      <c r="O123" s="658"/>
      <c r="P123" s="658"/>
      <c r="Q123" s="658"/>
      <c r="R123" s="659"/>
      <c r="S123" s="660"/>
      <c r="T123" s="725"/>
      <c r="U123" s="2381"/>
      <c r="V123" s="2381"/>
      <c r="W123" s="1167"/>
      <c r="X123" s="1167"/>
      <c r="Y123" s="1167"/>
      <c r="Z123" s="1167"/>
      <c r="AA123" s="1643"/>
      <c r="AB123" s="1167"/>
      <c r="AC123" s="1803"/>
      <c r="AD123" s="636"/>
      <c r="AE123" s="1167"/>
      <c r="AF123" s="1167"/>
      <c r="AG123" s="1643"/>
      <c r="AH123" s="1643"/>
      <c r="AI123" s="1643"/>
      <c r="AJ123" s="1643"/>
      <c r="AK123" s="1643"/>
      <c r="AL123" s="1643"/>
      <c r="AM123" s="1643"/>
      <c r="AN123" s="1643"/>
      <c r="AO123" s="1643"/>
      <c r="AP123" s="1643"/>
      <c r="AQ123" s="1643"/>
      <c r="AR123" s="1643"/>
      <c r="AS123" s="1643"/>
      <c r="AT123" s="1643"/>
      <c r="AU123" s="1643"/>
      <c r="AV123" s="1643"/>
      <c r="AW123" s="1643"/>
      <c r="AX123" s="1643"/>
      <c r="AY123" s="1643"/>
      <c r="AZ123" s="1643"/>
      <c r="BA123" s="1643"/>
      <c r="BB123" s="1643"/>
      <c r="BC123" s="1643"/>
      <c r="BD123" s="1643"/>
      <c r="BE123" s="1643"/>
      <c r="BF123" s="1643"/>
      <c r="BG123" s="1643"/>
      <c r="BH123" s="1643"/>
      <c r="BI123" s="1643"/>
      <c r="BJ123" s="1643"/>
      <c r="BK123" s="1643"/>
      <c r="BL123" s="1643"/>
      <c r="BM123" s="1643"/>
      <c r="BN123" s="1643"/>
      <c r="BO123" s="1643"/>
      <c r="BP123" s="1643"/>
      <c r="BQ123" s="1643"/>
      <c r="BR123" s="1643"/>
      <c r="BS123" s="1643"/>
      <c r="BT123" s="1643"/>
      <c r="BU123" s="1643"/>
      <c r="BV123" s="1167"/>
      <c r="BW123" s="1167"/>
      <c r="BX123" s="1167"/>
      <c r="BY123" s="1167"/>
      <c r="BZ123" s="1167"/>
      <c r="CA123" s="1167"/>
      <c r="CB123" s="1167"/>
      <c r="CC123" s="1167"/>
      <c r="CD123" s="1167"/>
      <c r="CE123" s="1167"/>
    </row>
    <row r="125" s="1822" customFormat="1" customHeight="1" ht="11.25">
      <c r="A125" s="1822" t="s">
        <v>2085</v>
      </c>
    </row>
    <row r="127" s="1857" customFormat="1" customHeight="1" ht="15">
      <c r="A127" s="630"/>
      <c r="B127" s="631"/>
      <c r="C127" s="631"/>
      <c r="D127" s="2585" t="s">
        <v>108</v>
      </c>
      <c r="E127" s="2384" t="s">
        <v>201</v>
      </c>
      <c r="F127" s="2385"/>
      <c r="G127" s="2386"/>
      <c r="H127" s="2390" t="str">
        <f>IF(A127="","",INDEX(DIFFERENTIATION_UNMERGE_VD,MATCH(A127,DIFFERENTIATION_ID_DIFF,0)))</f>
        <v/>
      </c>
      <c r="I127" s="2390"/>
      <c r="J127" s="2390"/>
      <c r="K127" s="2390"/>
      <c r="L127" s="2390"/>
      <c r="M127" s="2390"/>
      <c r="N127" s="2390"/>
      <c r="O127" s="2390"/>
      <c r="P127" s="2390"/>
      <c r="Q127" s="2390"/>
      <c r="R127" s="2390"/>
      <c r="S127" s="726"/>
      <c r="T127" s="723"/>
      <c r="U127" s="632"/>
      <c r="V127" s="632"/>
      <c r="W127" s="633"/>
      <c r="X127" s="633"/>
      <c r="Y127" s="633"/>
      <c r="Z127" s="633"/>
      <c r="AA127" s="634"/>
      <c r="AB127" s="635"/>
      <c r="AC127" s="2382"/>
      <c r="AD127" s="636"/>
      <c r="AE127" s="637" t="s">
        <v>28</v>
      </c>
      <c r="AF127" s="637"/>
      <c r="AG127" s="638" t="s">
        <v>771</v>
      </c>
      <c r="AH127" s="639">
        <v>3</v>
      </c>
      <c r="AI127" s="632"/>
      <c r="AJ127" s="632"/>
      <c r="AK127" s="632"/>
      <c r="AL127" s="632"/>
      <c r="AM127" s="632"/>
      <c r="AN127" s="632"/>
      <c r="AO127" s="632"/>
      <c r="AP127" s="632"/>
      <c r="AQ127" s="632"/>
      <c r="AR127" s="632"/>
      <c r="AS127" s="632"/>
      <c r="AT127" s="632"/>
      <c r="AU127" s="632"/>
      <c r="AV127" s="632"/>
      <c r="AW127" s="632"/>
      <c r="AX127" s="632"/>
      <c r="AY127" s="632"/>
      <c r="AZ127" s="632"/>
      <c r="BA127" s="632"/>
      <c r="BB127" s="632"/>
      <c r="BC127" s="632"/>
      <c r="BD127" s="632"/>
      <c r="BE127" s="632"/>
      <c r="BF127" s="632"/>
      <c r="BG127" s="632"/>
      <c r="BH127" s="632"/>
      <c r="BI127" s="632"/>
      <c r="BJ127" s="632"/>
      <c r="BK127" s="632"/>
      <c r="BL127" s="632"/>
      <c r="BM127" s="632"/>
      <c r="BN127" s="632"/>
      <c r="BO127" s="632"/>
      <c r="BP127" s="632"/>
      <c r="BQ127" s="632"/>
      <c r="BR127" s="632"/>
      <c r="BS127" s="632"/>
      <c r="BT127" s="632"/>
      <c r="BU127" s="632"/>
      <c r="BV127" s="633"/>
      <c r="BW127" s="633"/>
      <c r="BX127" s="633"/>
      <c r="BY127" s="633"/>
      <c r="BZ127" s="633"/>
      <c r="CA127" s="633"/>
      <c r="CB127" s="633"/>
      <c r="CC127" s="633"/>
      <c r="CD127" s="633"/>
      <c r="CE127" s="633"/>
    </row>
    <row s="1857" customFormat="1" customHeight="1" ht="15">
      <c r="A128" s="630"/>
      <c r="B128" s="631"/>
      <c r="C128" s="631"/>
      <c r="D128" s="2586"/>
      <c r="E128" s="2384" t="s">
        <v>726</v>
      </c>
      <c r="F128" s="2385"/>
      <c r="G128" s="2386"/>
      <c r="H128" s="2390" t="str">
        <f>IF(A127="","",INDEX(DIFFERENTIATION_UNMERGE_AREA,MATCH(A127,DIFFERENTIATION_ID_DIFF,0)))</f>
        <v/>
      </c>
      <c r="I128" s="2390"/>
      <c r="J128" s="2390"/>
      <c r="K128" s="2390"/>
      <c r="L128" s="2390"/>
      <c r="M128" s="2390"/>
      <c r="N128" s="2390"/>
      <c r="O128" s="2390"/>
      <c r="P128" s="2390"/>
      <c r="Q128" s="2390"/>
      <c r="R128" s="2390"/>
      <c r="S128" s="726"/>
      <c r="T128" s="723"/>
      <c r="U128" s="632"/>
      <c r="V128" s="632"/>
      <c r="W128" s="633"/>
      <c r="X128" s="633"/>
      <c r="Y128" s="633"/>
      <c r="Z128" s="633"/>
      <c r="AA128" s="634"/>
      <c r="AB128" s="635"/>
      <c r="AC128" s="2382"/>
      <c r="AD128" s="636"/>
      <c r="AE128" s="637"/>
      <c r="AF128" s="637"/>
      <c r="AG128" s="638"/>
      <c r="AH128" s="639"/>
      <c r="AI128" s="632"/>
      <c r="AJ128" s="632"/>
      <c r="AK128" s="632"/>
      <c r="AL128" s="632"/>
      <c r="AM128" s="632"/>
      <c r="AN128" s="632"/>
      <c r="AO128" s="632"/>
      <c r="AP128" s="632"/>
      <c r="AQ128" s="632"/>
      <c r="AR128" s="632"/>
      <c r="AS128" s="632"/>
      <c r="AT128" s="632"/>
      <c r="AU128" s="632"/>
      <c r="AV128" s="632"/>
      <c r="AW128" s="632"/>
      <c r="AX128" s="632"/>
      <c r="AY128" s="632"/>
      <c r="AZ128" s="632"/>
      <c r="BA128" s="632"/>
      <c r="BB128" s="632"/>
      <c r="BC128" s="632"/>
      <c r="BD128" s="632"/>
      <c r="BE128" s="632"/>
      <c r="BF128" s="632"/>
      <c r="BG128" s="632"/>
      <c r="BH128" s="632"/>
      <c r="BI128" s="632"/>
      <c r="BJ128" s="632"/>
      <c r="BK128" s="632"/>
      <c r="BL128" s="632"/>
      <c r="BM128" s="632"/>
      <c r="BN128" s="632"/>
      <c r="BO128" s="632"/>
      <c r="BP128" s="632"/>
      <c r="BQ128" s="632"/>
      <c r="BR128" s="632"/>
      <c r="BS128" s="632"/>
      <c r="BT128" s="632"/>
      <c r="BU128" s="632"/>
      <c r="BV128" s="633"/>
      <c r="BW128" s="633"/>
      <c r="BX128" s="633"/>
      <c r="BY128" s="633"/>
      <c r="BZ128" s="633"/>
      <c r="CA128" s="633"/>
      <c r="CB128" s="633"/>
      <c r="CC128" s="633"/>
      <c r="CD128" s="633"/>
      <c r="CE128" s="633"/>
    </row>
    <row s="1857" customFormat="1" customHeight="1" ht="15">
      <c r="A129" s="630"/>
      <c r="B129" s="631"/>
      <c r="C129" s="631"/>
      <c r="D129" s="2586"/>
      <c r="E129" s="2384" t="s">
        <v>727</v>
      </c>
      <c r="F129" s="2385"/>
      <c r="G129" s="2386"/>
      <c r="H129" s="2390" t="str">
        <f>IF(A127="","",INDEX(DIFFERENTIATION_UNMERGE_SYSTEM,MATCH(A127,DIFFERENTIATION_ID_DIFF,0)))</f>
        <v/>
      </c>
      <c r="I129" s="2390"/>
      <c r="J129" s="2390"/>
      <c r="K129" s="2390"/>
      <c r="L129" s="2390"/>
      <c r="M129" s="2390"/>
      <c r="N129" s="2390"/>
      <c r="O129" s="2390"/>
      <c r="P129" s="2390"/>
      <c r="Q129" s="2390"/>
      <c r="R129" s="2390"/>
      <c r="S129" s="726"/>
      <c r="T129" s="723"/>
      <c r="U129" s="632"/>
      <c r="V129" s="632"/>
      <c r="W129" s="633"/>
      <c r="X129" s="633"/>
      <c r="Y129" s="633"/>
      <c r="Z129" s="633"/>
      <c r="AA129" s="634"/>
      <c r="AB129" s="635"/>
      <c r="AC129" s="2382"/>
      <c r="AD129" s="636"/>
      <c r="AE129" s="637"/>
      <c r="AF129" s="637"/>
      <c r="AG129" s="638"/>
      <c r="AH129" s="639"/>
      <c r="AI129" s="632"/>
      <c r="AJ129" s="632"/>
      <c r="AK129" s="632"/>
      <c r="AL129" s="632"/>
      <c r="AM129" s="632"/>
      <c r="AN129" s="632"/>
      <c r="AO129" s="632"/>
      <c r="AP129" s="632"/>
      <c r="AQ129" s="632"/>
      <c r="AR129" s="632"/>
      <c r="AS129" s="632"/>
      <c r="AT129" s="632"/>
      <c r="AU129" s="632"/>
      <c r="AV129" s="632"/>
      <c r="AW129" s="632"/>
      <c r="AX129" s="632"/>
      <c r="AY129" s="632"/>
      <c r="AZ129" s="632"/>
      <c r="BA129" s="632"/>
      <c r="BB129" s="632"/>
      <c r="BC129" s="632"/>
      <c r="BD129" s="632"/>
      <c r="BE129" s="632"/>
      <c r="BF129" s="632"/>
      <c r="BG129" s="632"/>
      <c r="BH129" s="632"/>
      <c r="BI129" s="632"/>
      <c r="BJ129" s="632"/>
      <c r="BK129" s="632"/>
      <c r="BL129" s="632"/>
      <c r="BM129" s="632"/>
      <c r="BN129" s="632"/>
      <c r="BO129" s="632"/>
      <c r="BP129" s="632"/>
      <c r="BQ129" s="632"/>
      <c r="BR129" s="632"/>
      <c r="BS129" s="632"/>
      <c r="BT129" s="632"/>
      <c r="BU129" s="632"/>
      <c r="BV129" s="633"/>
      <c r="BW129" s="633"/>
      <c r="BX129" s="633"/>
      <c r="BY129" s="633"/>
      <c r="BZ129" s="633"/>
      <c r="CA129" s="633"/>
      <c r="CB129" s="633"/>
      <c r="CC129" s="633"/>
      <c r="CD129" s="633"/>
      <c r="CE129" s="633"/>
    </row>
    <row s="1857" customFormat="1" customHeight="1" ht="24.75">
      <c r="A130" s="1813"/>
      <c r="B130" s="1167"/>
      <c r="C130" s="419"/>
      <c r="D130" s="2586"/>
      <c r="E130" s="2383" t="s">
        <v>772</v>
      </c>
      <c r="F130" s="2383"/>
      <c r="G130" s="2383"/>
      <c r="H130" s="2383"/>
      <c r="I130" s="2383"/>
      <c r="J130" s="2383"/>
      <c r="K130" s="2383"/>
      <c r="L130" s="2383"/>
      <c r="M130" s="2383"/>
      <c r="N130" s="2383"/>
      <c r="O130" s="2383"/>
      <c r="P130" s="2383"/>
      <c r="Q130" s="565">
        <f>SUMIF(T131:T132,"i",Q131:Q132)</f>
        <v>0</v>
      </c>
      <c r="R130" s="1024"/>
      <c r="S130" s="1805" t="s">
        <v>773</v>
      </c>
      <c r="T130" s="724" t="s">
        <v>774</v>
      </c>
      <c r="U130" s="2381">
        <v>1</v>
      </c>
      <c r="V130" s="2381" t="s">
        <v>737</v>
      </c>
      <c r="W130" s="1167"/>
      <c r="X130" s="1167"/>
      <c r="Y130" s="1167"/>
      <c r="Z130" s="1167"/>
      <c r="AA130" s="1643"/>
      <c r="AB130" s="1167"/>
      <c r="AC130" s="2382"/>
      <c r="AD130" s="636"/>
      <c r="AE130" s="1167"/>
      <c r="AF130" s="1167"/>
      <c r="AG130" s="1643"/>
      <c r="AH130" s="1643"/>
      <c r="AI130" s="1643"/>
      <c r="AJ130" s="1643"/>
      <c r="AK130" s="1643"/>
      <c r="AL130" s="1643"/>
      <c r="AM130" s="1643"/>
      <c r="AN130" s="1643"/>
      <c r="AO130" s="1643"/>
      <c r="AP130" s="1643"/>
      <c r="AQ130" s="1643"/>
      <c r="AR130" s="1643"/>
      <c r="AS130" s="1643"/>
      <c r="AT130" s="1643"/>
      <c r="AU130" s="1643"/>
      <c r="AV130" s="1643"/>
      <c r="AW130" s="1643"/>
      <c r="AX130" s="1643"/>
      <c r="AY130" s="1643"/>
      <c r="AZ130" s="1643"/>
      <c r="BA130" s="1643"/>
      <c r="BB130" s="1643"/>
      <c r="BC130" s="1643"/>
      <c r="BD130" s="1643"/>
      <c r="BE130" s="1643"/>
      <c r="BF130" s="1643"/>
      <c r="BG130" s="1643"/>
      <c r="BH130" s="1643"/>
      <c r="BI130" s="1643"/>
      <c r="BJ130" s="1643"/>
      <c r="BK130" s="1643"/>
      <c r="BL130" s="1643"/>
      <c r="BM130" s="1643"/>
      <c r="BN130" s="1643"/>
      <c r="BO130" s="1643"/>
      <c r="BP130" s="1643"/>
      <c r="BQ130" s="1643"/>
      <c r="BR130" s="1643"/>
      <c r="BS130" s="1643"/>
      <c r="BT130" s="1643"/>
      <c r="BU130" s="1643"/>
      <c r="BV130" s="1167"/>
      <c r="BW130" s="1167"/>
      <c r="BX130" s="1167"/>
      <c r="BY130" s="1167"/>
      <c r="BZ130" s="1167"/>
      <c r="CA130" s="1167"/>
      <c r="CB130" s="1167"/>
      <c r="CC130" s="1167"/>
      <c r="CD130" s="1167"/>
      <c r="CE130" s="1167"/>
    </row>
    <row s="1857" customFormat="1" customHeight="1" ht="11.25" hidden="1">
      <c r="A131" s="1800"/>
      <c r="B131" s="1643"/>
      <c r="C131" s="1643"/>
      <c r="D131" s="2586"/>
      <c r="E131" s="642"/>
      <c r="F131" s="642">
        <v>0</v>
      </c>
      <c r="G131" s="642"/>
      <c r="H131" s="642"/>
      <c r="I131" s="642"/>
      <c r="J131" s="642"/>
      <c r="K131" s="642"/>
      <c r="L131" s="642"/>
      <c r="M131" s="642"/>
      <c r="N131" s="642"/>
      <c r="O131" s="642"/>
      <c r="P131" s="642"/>
      <c r="Q131" s="642"/>
      <c r="R131" s="642"/>
      <c r="S131" s="643"/>
      <c r="T131" s="725"/>
      <c r="U131" s="2381"/>
      <c r="V131" s="2381"/>
      <c r="W131" s="1643"/>
      <c r="X131" s="1643"/>
      <c r="Y131" s="1643"/>
      <c r="Z131" s="1643"/>
      <c r="AA131" s="1643"/>
      <c r="AB131" s="1167"/>
      <c r="AC131" s="2382"/>
      <c r="AD131" s="636"/>
      <c r="AE131" s="1167"/>
      <c r="AF131" s="1167"/>
      <c r="AG131" s="1643"/>
      <c r="AH131" s="1643"/>
      <c r="AI131" s="1643"/>
      <c r="AJ131" s="1643"/>
      <c r="AK131" s="1643"/>
      <c r="AL131" s="1643"/>
      <c r="AM131" s="1643"/>
      <c r="AN131" s="1643"/>
      <c r="AO131" s="1643"/>
      <c r="AP131" s="1643"/>
      <c r="AQ131" s="1643"/>
      <c r="AR131" s="1643"/>
      <c r="AS131" s="1643"/>
      <c r="AT131" s="1643"/>
      <c r="AU131" s="1643"/>
      <c r="AV131" s="1643"/>
      <c r="AW131" s="1643"/>
      <c r="AX131" s="1643"/>
      <c r="AY131" s="1643"/>
      <c r="AZ131" s="1643"/>
      <c r="BA131" s="1643"/>
      <c r="BB131" s="1643"/>
      <c r="BC131" s="1643"/>
      <c r="BD131" s="1643"/>
      <c r="BE131" s="1643"/>
      <c r="BF131" s="1643"/>
      <c r="BG131" s="1643"/>
      <c r="BH131" s="1643"/>
      <c r="BI131" s="1643"/>
      <c r="BJ131" s="1643"/>
      <c r="BK131" s="1643"/>
      <c r="BL131" s="1643"/>
      <c r="BM131" s="1643"/>
      <c r="BN131" s="1643"/>
      <c r="BO131" s="1643"/>
      <c r="BP131" s="1643"/>
      <c r="BQ131" s="1643"/>
      <c r="BR131" s="1643"/>
      <c r="BS131" s="1643"/>
      <c r="BT131" s="1643"/>
      <c r="BU131" s="1643"/>
      <c r="BV131" s="1643"/>
      <c r="BW131" s="1643"/>
      <c r="BX131" s="1643"/>
      <c r="BY131" s="1643"/>
      <c r="BZ131" s="1643"/>
      <c r="CA131" s="1643"/>
      <c r="CB131" s="1643"/>
      <c r="CC131" s="1643"/>
      <c r="CD131" s="1643"/>
      <c r="CE131" s="1643"/>
    </row>
    <row s="1857" customFormat="1" customHeight="1" ht="11.25">
      <c r="A132" s="1813"/>
      <c r="B132" s="1167"/>
      <c r="C132" s="419"/>
      <c r="D132" s="2586"/>
      <c r="E132" s="656" t="s">
        <v>28</v>
      </c>
      <c r="F132" s="1175" t="s">
        <v>28</v>
      </c>
      <c r="G132" s="1175" t="s">
        <v>2084</v>
      </c>
      <c r="H132" s="658" t="s">
        <v>28</v>
      </c>
      <c r="I132" s="658"/>
      <c r="J132" s="658"/>
      <c r="K132" s="658"/>
      <c r="L132" s="658"/>
      <c r="M132" s="658"/>
      <c r="N132" s="658"/>
      <c r="O132" s="658"/>
      <c r="P132" s="658"/>
      <c r="Q132" s="658"/>
      <c r="R132" s="659"/>
      <c r="S132" s="660"/>
      <c r="T132" s="725"/>
      <c r="U132" s="2381"/>
      <c r="V132" s="2381"/>
      <c r="W132" s="1167"/>
      <c r="X132" s="1167"/>
      <c r="Y132" s="1167"/>
      <c r="Z132" s="1167"/>
      <c r="AA132" s="1643"/>
      <c r="AB132" s="1167"/>
      <c r="AC132" s="2382"/>
      <c r="AD132" s="636"/>
      <c r="AE132" s="1167"/>
      <c r="AF132" s="1167"/>
      <c r="AG132" s="1643"/>
      <c r="AH132" s="1643"/>
      <c r="AI132" s="1643"/>
      <c r="AJ132" s="1643"/>
      <c r="AK132" s="1643"/>
      <c r="AL132" s="1643"/>
      <c r="AM132" s="1643"/>
      <c r="AN132" s="1643"/>
      <c r="AO132" s="1643"/>
      <c r="AP132" s="1643"/>
      <c r="AQ132" s="1643"/>
      <c r="AR132" s="1643"/>
      <c r="AS132" s="1643"/>
      <c r="AT132" s="1643"/>
      <c r="AU132" s="1643"/>
      <c r="AV132" s="1643"/>
      <c r="AW132" s="1643"/>
      <c r="AX132" s="1643"/>
      <c r="AY132" s="1643"/>
      <c r="AZ132" s="1643"/>
      <c r="BA132" s="1643"/>
      <c r="BB132" s="1643"/>
      <c r="BC132" s="1643"/>
      <c r="BD132" s="1643"/>
      <c r="BE132" s="1643"/>
      <c r="BF132" s="1643"/>
      <c r="BG132" s="1643"/>
      <c r="BH132" s="1643"/>
      <c r="BI132" s="1643"/>
      <c r="BJ132" s="1643"/>
      <c r="BK132" s="1643"/>
      <c r="BL132" s="1643"/>
      <c r="BM132" s="1643"/>
      <c r="BN132" s="1643"/>
      <c r="BO132" s="1643"/>
      <c r="BP132" s="1643"/>
      <c r="BQ132" s="1643"/>
      <c r="BR132" s="1643"/>
      <c r="BS132" s="1643"/>
      <c r="BT132" s="1643"/>
      <c r="BU132" s="1643"/>
      <c r="BV132" s="1167"/>
      <c r="BW132" s="1167"/>
      <c r="BX132" s="1167"/>
      <c r="BY132" s="1167"/>
      <c r="BZ132" s="1167"/>
      <c r="CA132" s="1167"/>
      <c r="CB132" s="1167"/>
      <c r="CC132" s="1167"/>
      <c r="CD132" s="1167"/>
      <c r="CE132" s="1167"/>
    </row>
    <row s="1323" customFormat="1" customHeight="1" ht="5.25" hidden="1">
      <c r="A133" s="1800"/>
      <c r="B133" s="1643"/>
      <c r="C133" s="1643"/>
      <c r="D133" s="2586"/>
      <c r="E133" s="1046"/>
      <c r="F133" s="1046"/>
      <c r="G133" s="1046"/>
      <c r="H133" s="1046"/>
      <c r="I133" s="1046"/>
      <c r="J133" s="1046"/>
      <c r="K133" s="1046"/>
      <c r="L133" s="1046"/>
      <c r="M133" s="1046"/>
      <c r="N133" s="1046"/>
      <c r="O133" s="1046"/>
      <c r="P133" s="1046"/>
      <c r="Q133" s="1047"/>
      <c r="R133" s="1048"/>
      <c r="S133" s="1049"/>
      <c r="T133" s="724" t="s">
        <v>774</v>
      </c>
      <c r="U133" s="2381">
        <v>1</v>
      </c>
      <c r="V133" s="2381" t="s">
        <v>737</v>
      </c>
      <c r="W133" s="1643"/>
      <c r="X133" s="1643"/>
      <c r="Y133" s="1643"/>
      <c r="Z133" s="1643"/>
      <c r="AA133" s="1643"/>
      <c r="AB133" s="1643"/>
      <c r="AC133" s="1044"/>
      <c r="AD133" s="1045"/>
      <c r="AE133" s="1643"/>
      <c r="AF133" s="1643"/>
      <c r="AG133" s="1643"/>
      <c r="AH133" s="1643"/>
      <c r="AI133" s="1643"/>
      <c r="AJ133" s="1643"/>
      <c r="AK133" s="1643"/>
      <c r="AL133" s="1643"/>
      <c r="AM133" s="1643"/>
      <c r="AN133" s="1643"/>
      <c r="AO133" s="1643"/>
      <c r="AP133" s="1643"/>
      <c r="AQ133" s="1643"/>
      <c r="AR133" s="1643"/>
      <c r="AS133" s="1643"/>
      <c r="AT133" s="1643"/>
      <c r="AU133" s="1643"/>
      <c r="AV133" s="1643"/>
      <c r="AW133" s="1643"/>
      <c r="AX133" s="1643"/>
      <c r="AY133" s="1643"/>
      <c r="AZ133" s="1643"/>
      <c r="BA133" s="1643"/>
      <c r="BB133" s="1643"/>
      <c r="BC133" s="1643"/>
      <c r="BD133" s="1643"/>
      <c r="BE133" s="1643"/>
      <c r="BF133" s="1643"/>
      <c r="BG133" s="1643"/>
      <c r="BH133" s="1643"/>
      <c r="BI133" s="1643"/>
      <c r="BJ133" s="1643"/>
      <c r="BK133" s="1643"/>
      <c r="BL133" s="1643"/>
      <c r="BM133" s="1643"/>
      <c r="BN133" s="1643"/>
      <c r="BO133" s="1643"/>
      <c r="BP133" s="1643"/>
      <c r="BQ133" s="1643"/>
      <c r="BR133" s="1643"/>
      <c r="BS133" s="1643"/>
      <c r="BT133" s="1643"/>
      <c r="BU133" s="1643"/>
      <c r="BV133" s="1643"/>
      <c r="BW133" s="1643"/>
      <c r="BX133" s="1643"/>
      <c r="BY133" s="1643"/>
      <c r="BZ133" s="1643"/>
      <c r="CA133" s="1643"/>
      <c r="CB133" s="1643"/>
      <c r="CC133" s="1643"/>
      <c r="CD133" s="1643"/>
      <c r="CE133" s="1643"/>
    </row>
    <row s="1323" customFormat="1" customHeight="1" ht="5.25" hidden="1">
      <c r="A134" s="1800"/>
      <c r="B134" s="1643"/>
      <c r="C134" s="1643"/>
      <c r="D134" s="2586"/>
      <c r="E134" s="642"/>
      <c r="F134" s="642"/>
      <c r="G134" s="642"/>
      <c r="H134" s="642"/>
      <c r="I134" s="642"/>
      <c r="J134" s="642"/>
      <c r="K134" s="642"/>
      <c r="L134" s="642"/>
      <c r="M134" s="642"/>
      <c r="N134" s="642"/>
      <c r="O134" s="642"/>
      <c r="P134" s="642"/>
      <c r="Q134" s="642"/>
      <c r="R134" s="642"/>
      <c r="S134" s="643"/>
      <c r="T134" s="725"/>
      <c r="U134" s="2381"/>
      <c r="V134" s="2381"/>
      <c r="W134" s="1643"/>
      <c r="X134" s="1643"/>
      <c r="Y134" s="1643"/>
      <c r="Z134" s="1643"/>
      <c r="AA134" s="1643"/>
      <c r="AB134" s="1643"/>
      <c r="AC134" s="1044"/>
      <c r="AD134" s="1045"/>
      <c r="AE134" s="1643"/>
      <c r="AF134" s="1643"/>
      <c r="AG134" s="1643"/>
      <c r="AH134" s="1643"/>
      <c r="AI134" s="1643"/>
      <c r="AJ134" s="1643"/>
      <c r="AK134" s="1643"/>
      <c r="AL134" s="1643"/>
      <c r="AM134" s="1643"/>
      <c r="AN134" s="1643"/>
      <c r="AO134" s="1643"/>
      <c r="AP134" s="1643"/>
      <c r="AQ134" s="1643"/>
      <c r="AR134" s="1643"/>
      <c r="AS134" s="1643"/>
      <c r="AT134" s="1643"/>
      <c r="AU134" s="1643"/>
      <c r="AV134" s="1643"/>
      <c r="AW134" s="1643"/>
      <c r="AX134" s="1643"/>
      <c r="AY134" s="1643"/>
      <c r="AZ134" s="1643"/>
      <c r="BA134" s="1643"/>
      <c r="BB134" s="1643"/>
      <c r="BC134" s="1643"/>
      <c r="BD134" s="1643"/>
      <c r="BE134" s="1643"/>
      <c r="BF134" s="1643"/>
      <c r="BG134" s="1643"/>
      <c r="BH134" s="1643"/>
      <c r="BI134" s="1643"/>
      <c r="BJ134" s="1643"/>
      <c r="BK134" s="1643"/>
      <c r="BL134" s="1643"/>
      <c r="BM134" s="1643"/>
      <c r="BN134" s="1643"/>
      <c r="BO134" s="1643"/>
      <c r="BP134" s="1643"/>
      <c r="BQ134" s="1643"/>
      <c r="BR134" s="1643"/>
      <c r="BS134" s="1643"/>
      <c r="BT134" s="1643"/>
      <c r="BU134" s="1643"/>
      <c r="BV134" s="1643"/>
      <c r="BW134" s="1643"/>
      <c r="BX134" s="1643"/>
      <c r="BY134" s="1643"/>
      <c r="BZ134" s="1643"/>
      <c r="CA134" s="1643"/>
      <c r="CB134" s="1643"/>
      <c r="CC134" s="1643"/>
      <c r="CD134" s="1643"/>
      <c r="CE134" s="1643"/>
    </row>
    <row s="1323" customFormat="1" customHeight="1" ht="5.25" hidden="1">
      <c r="A135" s="1800"/>
      <c r="B135" s="1643"/>
      <c r="C135" s="1643"/>
      <c r="D135" s="2587"/>
      <c r="E135" s="1050"/>
      <c r="F135" s="1051"/>
      <c r="G135" s="1051"/>
      <c r="H135" s="1052"/>
      <c r="I135" s="1052"/>
      <c r="J135" s="1052"/>
      <c r="K135" s="1052"/>
      <c r="L135" s="1052"/>
      <c r="M135" s="1052"/>
      <c r="N135" s="1052"/>
      <c r="O135" s="1052"/>
      <c r="P135" s="1052"/>
      <c r="Q135" s="1052"/>
      <c r="R135" s="953"/>
      <c r="S135" s="1053"/>
      <c r="T135" s="725"/>
      <c r="U135" s="2381"/>
      <c r="V135" s="2381"/>
      <c r="W135" s="1643"/>
      <c r="X135" s="1643"/>
      <c r="Y135" s="1643"/>
      <c r="Z135" s="1643"/>
      <c r="AA135" s="1643"/>
      <c r="AB135" s="1643"/>
      <c r="AC135" s="1044"/>
      <c r="AD135" s="1045"/>
      <c r="AE135" s="1643"/>
      <c r="AF135" s="1643"/>
      <c r="AG135" s="1643"/>
      <c r="AH135" s="1643"/>
      <c r="AI135" s="1643"/>
      <c r="AJ135" s="1643"/>
      <c r="AK135" s="1643"/>
      <c r="AL135" s="1643"/>
      <c r="AM135" s="1643"/>
      <c r="AN135" s="1643"/>
      <c r="AO135" s="1643"/>
      <c r="AP135" s="1643"/>
      <c r="AQ135" s="1643"/>
      <c r="AR135" s="1643"/>
      <c r="AS135" s="1643"/>
      <c r="AT135" s="1643"/>
      <c r="AU135" s="1643"/>
      <c r="AV135" s="1643"/>
      <c r="AW135" s="1643"/>
      <c r="AX135" s="1643"/>
      <c r="AY135" s="1643"/>
      <c r="AZ135" s="1643"/>
      <c r="BA135" s="1643"/>
      <c r="BB135" s="1643"/>
      <c r="BC135" s="1643"/>
      <c r="BD135" s="1643"/>
      <c r="BE135" s="1643"/>
      <c r="BF135" s="1643"/>
      <c r="BG135" s="1643"/>
      <c r="BH135" s="1643"/>
      <c r="BI135" s="1643"/>
      <c r="BJ135" s="1643"/>
      <c r="BK135" s="1643"/>
      <c r="BL135" s="1643"/>
      <c r="BM135" s="1643"/>
      <c r="BN135" s="1643"/>
      <c r="BO135" s="1643"/>
      <c r="BP135" s="1643"/>
      <c r="BQ135" s="1643"/>
      <c r="BR135" s="1643"/>
      <c r="BS135" s="1643"/>
      <c r="BT135" s="1643"/>
      <c r="BU135" s="1643"/>
      <c r="BV135" s="1643"/>
      <c r="BW135" s="1643"/>
      <c r="BX135" s="1643"/>
      <c r="BY135" s="1643"/>
      <c r="BZ135" s="1643"/>
      <c r="CA135" s="1643"/>
      <c r="CB135" s="1643"/>
      <c r="CC135" s="1643"/>
      <c r="CD135" s="1643"/>
      <c r="CE135" s="1643"/>
    </row>
    <row customHeight="1" ht="17.25">
      <c r="D136" s="1843"/>
    </row>
    <row s="1822" customFormat="1" customHeight="1" ht="11.25">
      <c r="A137" s="1822" t="s">
        <v>2086</v>
      </c>
    </row>
    <row r="139" s="1857" customFormat="1" customHeight="1" ht="45">
      <c r="A139" s="1813"/>
      <c r="B139" s="1167"/>
      <c r="C139" s="419"/>
      <c r="D139" s="96"/>
      <c r="E139" s="2579"/>
      <c r="F139" s="2115" t="s">
        <v>108</v>
      </c>
      <c r="G139" s="2582" t="s">
        <v>28</v>
      </c>
      <c r="H139" s="296"/>
      <c r="I139" s="644" t="s">
        <v>108</v>
      </c>
      <c r="J139" s="1814" t="s">
        <v>2087</v>
      </c>
      <c r="K139" s="645" t="s">
        <v>708</v>
      </c>
      <c r="L139" s="2231" t="s">
        <v>708</v>
      </c>
      <c r="M139" s="2584"/>
      <c r="N139" s="645" t="s">
        <v>708</v>
      </c>
      <c r="O139" s="645" t="s">
        <v>708</v>
      </c>
      <c r="P139" s="645" t="s">
        <v>708</v>
      </c>
      <c r="Q139" s="646">
        <f>SUM(Q140:Q142)</f>
        <v>0</v>
      </c>
      <c r="R139" s="646">
        <f>IF(R136=0,0,(Q136/R136)*100)</f>
        <v>0</v>
      </c>
      <c r="S139" s="2186"/>
      <c r="T139" s="724" t="s">
        <v>774</v>
      </c>
      <c r="U139" s="96"/>
      <c r="V139" s="96"/>
      <c r="AC139" s="96"/>
    </row>
    <row s="1857" customFormat="1" customHeight="1" ht="11.25">
      <c r="A140" s="1813"/>
      <c r="B140" s="1167"/>
      <c r="C140" s="419"/>
      <c r="D140" s="96"/>
      <c r="E140" s="2580"/>
      <c r="F140" s="2115"/>
      <c r="G140" s="2582"/>
      <c r="H140" s="2134"/>
      <c r="I140" s="2522" t="s">
        <v>1183</v>
      </c>
      <c r="J140" s="2576"/>
      <c r="K140" s="2577"/>
      <c r="L140" s="647"/>
      <c r="M140" s="648" t="s">
        <v>108</v>
      </c>
      <c r="N140" s="1802"/>
      <c r="O140" s="649"/>
      <c r="P140" s="650"/>
      <c r="Q140" s="649"/>
      <c r="R140" s="651">
        <v>0</v>
      </c>
      <c r="S140" s="2186"/>
      <c r="T140" s="724"/>
      <c r="U140" s="96"/>
      <c r="V140" s="96"/>
      <c r="AC140" s="96"/>
    </row>
    <row s="1857" customFormat="1" customHeight="1" ht="11.25">
      <c r="A141" s="1813"/>
      <c r="B141" s="1167"/>
      <c r="C141" s="419"/>
      <c r="D141" s="96"/>
      <c r="E141" s="2580"/>
      <c r="F141" s="2115"/>
      <c r="G141" s="2582"/>
      <c r="H141" s="2134"/>
      <c r="I141" s="2522"/>
      <c r="J141" s="2576"/>
      <c r="K141" s="2578"/>
      <c r="L141" s="652"/>
      <c r="M141" s="653"/>
      <c r="N141" s="654" t="s">
        <v>2088</v>
      </c>
      <c r="O141" s="654"/>
      <c r="P141" s="654"/>
      <c r="Q141" s="654"/>
      <c r="R141" s="655"/>
      <c r="S141" s="2186"/>
      <c r="T141" s="724"/>
      <c r="U141" s="96"/>
      <c r="V141" s="96"/>
      <c r="AC141" s="96"/>
    </row>
    <row s="1857" customFormat="1" customHeight="1" ht="11.25">
      <c r="A142" s="1813"/>
      <c r="B142" s="1167"/>
      <c r="C142" s="419"/>
      <c r="D142" s="96"/>
      <c r="E142" s="2581"/>
      <c r="F142" s="2115"/>
      <c r="G142" s="2583"/>
      <c r="H142" s="652" t="s">
        <v>28</v>
      </c>
      <c r="I142" s="653"/>
      <c r="J142" s="654" t="s">
        <v>2089</v>
      </c>
      <c r="K142" s="654"/>
      <c r="L142" s="654"/>
      <c r="M142" s="654"/>
      <c r="N142" s="654"/>
      <c r="O142" s="654"/>
      <c r="P142" s="654"/>
      <c r="Q142" s="654"/>
      <c r="R142" s="655"/>
      <c r="S142" s="2186"/>
      <c r="T142" s="724"/>
      <c r="U142" s="96"/>
      <c r="V142" s="96"/>
      <c r="AC142" s="96"/>
    </row>
    <row r="147" s="1857" customFormat="1" customHeight="1" ht="11.25">
      <c r="A147" s="1813"/>
      <c r="B147" s="1167"/>
      <c r="C147" s="419"/>
      <c r="D147" s="96"/>
      <c r="E147" s="1837"/>
      <c r="F147" s="1837"/>
      <c r="G147" s="1837"/>
      <c r="H147" s="2134"/>
      <c r="I147" s="2522" t="s">
        <v>1183</v>
      </c>
      <c r="J147" s="2576"/>
      <c r="K147" s="2577"/>
      <c r="L147" s="647"/>
      <c r="M147" s="648" t="s">
        <v>108</v>
      </c>
      <c r="N147" s="1802"/>
      <c r="O147" s="649"/>
      <c r="P147" s="650"/>
      <c r="Q147" s="649"/>
      <c r="R147" s="651">
        <v>0</v>
      </c>
      <c r="S147" s="96"/>
      <c r="T147" s="724"/>
      <c r="U147" s="96"/>
      <c r="V147" s="96"/>
      <c r="AC147" s="96"/>
    </row>
    <row s="1857" customFormat="1" customHeight="1" ht="11.25">
      <c r="A148" s="1813"/>
      <c r="B148" s="1167"/>
      <c r="C148" s="419"/>
      <c r="D148" s="96"/>
      <c r="E148" s="1837"/>
      <c r="F148" s="1837"/>
      <c r="G148" s="1837"/>
      <c r="H148" s="2134"/>
      <c r="I148" s="2522"/>
      <c r="J148" s="2576"/>
      <c r="K148" s="2578"/>
      <c r="L148" s="652"/>
      <c r="M148" s="653"/>
      <c r="N148" s="654" t="s">
        <v>2088</v>
      </c>
      <c r="O148" s="654"/>
      <c r="P148" s="654"/>
      <c r="Q148" s="654"/>
      <c r="R148" s="655"/>
      <c r="S148" s="96"/>
      <c r="T148" s="724"/>
      <c r="U148" s="96"/>
      <c r="V148" s="96"/>
      <c r="AC148" s="96"/>
    </row>
    <row r="150" s="1857" customFormat="1" customHeight="1" ht="11.25">
      <c r="A150" s="1813"/>
      <c r="B150" s="1167"/>
      <c r="C150" s="419"/>
      <c r="D150" s="96"/>
      <c r="E150" s="1844"/>
      <c r="F150" s="1842"/>
      <c r="G150" s="1842"/>
      <c r="H150" s="1845"/>
      <c r="I150" s="1837"/>
      <c r="J150" s="1838"/>
      <c r="K150" s="1838"/>
      <c r="L150" s="647"/>
      <c r="M150" s="648" t="s">
        <v>108</v>
      </c>
      <c r="N150" s="1802"/>
      <c r="O150" s="649"/>
      <c r="P150" s="650"/>
      <c r="Q150" s="649"/>
      <c r="R150" s="651">
        <v>0</v>
      </c>
      <c r="S150" s="96"/>
      <c r="T150" s="724"/>
      <c r="U150" s="96"/>
      <c r="V150" s="96"/>
      <c r="AC150" s="96"/>
    </row>
    <row r="152" s="1822" customFormat="1" customHeight="1" ht="17.25">
      <c r="A152" s="1822" t="s">
        <v>2090</v>
      </c>
    </row>
    <row customHeight="1" ht="17.25">
      <c r="G153" s="1846"/>
      <c r="H153" s="1846"/>
      <c r="I153" s="1846"/>
      <c r="M153" s="1842"/>
    </row>
    <row s="1860" customFormat="1" customHeight="1" ht="17.25">
      <c r="A154" s="1847"/>
      <c r="C154" s="1849"/>
      <c r="D154" s="2536"/>
      <c r="E154" s="2150"/>
      <c r="F154" s="2152"/>
      <c r="G154" s="2538"/>
      <c r="H154" s="2536"/>
      <c r="I154" s="2536">
        <v>1</v>
      </c>
      <c r="J154" s="2508"/>
      <c r="K154" s="2192" t="s">
        <v>66</v>
      </c>
      <c r="L154" s="2115"/>
      <c r="M154" s="2115" t="s">
        <v>108</v>
      </c>
      <c r="N154" s="2511" t="str">
        <f>IF(Z154="","",INDEX(TERRITORY_MR_LIST,MATCH(Z154,TERRITORY_LIST_ID,0)))</f>
        <v/>
      </c>
      <c r="O154" s="2192" t="s">
        <v>66</v>
      </c>
      <c r="P154" s="2115"/>
      <c r="Q154" s="2115" t="s">
        <v>108</v>
      </c>
      <c r="R154" s="2509" t="s">
        <v>28</v>
      </c>
      <c r="S154" s="2114" t="s">
        <v>66</v>
      </c>
      <c r="T154" s="1818"/>
      <c r="U154" s="1818" t="s">
        <v>108</v>
      </c>
      <c r="V154" s="1850" t="s">
        <v>28</v>
      </c>
      <c r="W154" s="1808"/>
      <c r="Y154" s="1274"/>
      <c r="Z154" s="1274"/>
      <c r="AA154" s="1274"/>
      <c r="AB154" s="1274"/>
      <c r="AC154" s="1274"/>
      <c r="AD154" s="1274"/>
      <c r="AE154" s="1274"/>
      <c r="AF154" s="1274"/>
      <c r="AG154" s="1274"/>
      <c r="AH154" s="1274"/>
      <c r="AI154" s="1274"/>
      <c r="AJ154" s="1274"/>
      <c r="AK154" s="1274"/>
      <c r="AL154" s="1851"/>
      <c r="AM154" s="1851"/>
      <c r="AN154" s="1274"/>
      <c r="AO154" s="1274"/>
      <c r="AP154" s="1274"/>
      <c r="AQ154" s="1274"/>
    </row>
    <row s="1860" customFormat="1" customHeight="1" ht="17.25">
      <c r="A155" s="1847"/>
      <c r="C155" s="1852"/>
      <c r="D155" s="2536"/>
      <c r="E155" s="2150"/>
      <c r="F155" s="2153"/>
      <c r="G155" s="2538"/>
      <c r="H155" s="2536"/>
      <c r="I155" s="2536"/>
      <c r="J155" s="2508"/>
      <c r="K155" s="2193"/>
      <c r="L155" s="2115"/>
      <c r="M155" s="2115"/>
      <c r="N155" s="2511"/>
      <c r="O155" s="2193"/>
      <c r="P155" s="2115"/>
      <c r="Q155" s="2115"/>
      <c r="R155" s="2509"/>
      <c r="S155" s="2114"/>
      <c r="T155" s="324"/>
      <c r="U155" s="325"/>
      <c r="V155" s="325" t="s">
        <v>577</v>
      </c>
      <c r="W155" s="326"/>
      <c r="Y155" s="1266"/>
      <c r="Z155" s="1266"/>
      <c r="AA155" s="1266"/>
      <c r="AB155" s="1266"/>
      <c r="AC155" s="1266"/>
      <c r="AD155" s="1266"/>
      <c r="AE155" s="1266"/>
      <c r="AF155" s="1266"/>
      <c r="AG155" s="1266"/>
      <c r="AH155" s="1266"/>
      <c r="AI155" s="1266"/>
      <c r="AJ155" s="1266"/>
      <c r="AK155" s="1266"/>
    </row>
    <row s="1860" customFormat="1" customHeight="1" ht="17.25">
      <c r="A156" s="1847"/>
      <c r="C156" s="1852"/>
      <c r="D156" s="2510"/>
      <c r="E156" s="2537"/>
      <c r="F156" s="2153"/>
      <c r="G156" s="2539"/>
      <c r="H156" s="2510"/>
      <c r="I156" s="2510"/>
      <c r="J156" s="2540"/>
      <c r="K156" s="2193"/>
      <c r="L156" s="2510"/>
      <c r="M156" s="2510"/>
      <c r="N156" s="2512"/>
      <c r="O156" s="2119"/>
      <c r="P156" s="324"/>
      <c r="Q156" s="325"/>
      <c r="R156" s="325" t="s">
        <v>316</v>
      </c>
      <c r="S156" s="1853"/>
      <c r="T156" s="1853"/>
      <c r="U156" s="1853"/>
      <c r="V156" s="1853"/>
      <c r="W156" s="326"/>
      <c r="Y156" s="1266"/>
      <c r="Z156" s="1266"/>
      <c r="AA156" s="1266"/>
      <c r="AB156" s="1266"/>
      <c r="AC156" s="1266"/>
      <c r="AD156" s="1266"/>
      <c r="AE156" s="1266"/>
      <c r="AF156" s="1266"/>
      <c r="AG156" s="1266"/>
      <c r="AH156" s="1266"/>
      <c r="AI156" s="1266"/>
      <c r="AJ156" s="1266"/>
      <c r="AK156" s="1266"/>
    </row>
    <row s="1860" customFormat="1" customHeight="1" ht="17.25">
      <c r="A157" s="1847"/>
      <c r="C157" s="1852"/>
      <c r="D157" s="2510"/>
      <c r="E157" s="2537"/>
      <c r="F157" s="2153"/>
      <c r="G157" s="2539"/>
      <c r="H157" s="2510"/>
      <c r="I157" s="2510"/>
      <c r="J157" s="2540"/>
      <c r="K157" s="2119"/>
      <c r="L157" s="324"/>
      <c r="M157" s="325"/>
      <c r="N157" s="325" t="s">
        <v>390</v>
      </c>
      <c r="O157" s="325"/>
      <c r="P157" s="325"/>
      <c r="Q157" s="325"/>
      <c r="R157" s="325"/>
      <c r="S157" s="1853"/>
      <c r="T157" s="1853"/>
      <c r="U157" s="1853"/>
      <c r="V157" s="1853"/>
      <c r="W157" s="326"/>
      <c r="Y157" s="1266"/>
      <c r="Z157" s="1266"/>
      <c r="AA157" s="1266"/>
      <c r="AB157" s="1266"/>
      <c r="AC157" s="1266"/>
      <c r="AD157" s="1266"/>
      <c r="AE157" s="1266"/>
      <c r="AF157" s="1266"/>
      <c r="AG157" s="1266"/>
      <c r="AH157" s="1266"/>
      <c r="AI157" s="1266"/>
      <c r="AJ157" s="1266"/>
      <c r="AK157" s="1266"/>
    </row>
    <row s="1860" customFormat="1" customHeight="1" ht="17.25">
      <c r="A158" s="1847"/>
      <c r="C158" s="1852"/>
      <c r="D158" s="2510"/>
      <c r="E158" s="2537"/>
      <c r="F158" s="2154"/>
      <c r="G158" s="2539"/>
      <c r="H158" s="324"/>
      <c r="I158" s="325"/>
      <c r="J158" s="325" t="s">
        <v>391</v>
      </c>
      <c r="K158" s="325"/>
      <c r="L158" s="325"/>
      <c r="M158" s="325"/>
      <c r="N158" s="325"/>
      <c r="O158" s="325"/>
      <c r="P158" s="325"/>
      <c r="Q158" s="325"/>
      <c r="R158" s="325"/>
      <c r="S158" s="1853"/>
      <c r="T158" s="1853"/>
      <c r="U158" s="1853"/>
      <c r="V158" s="1853"/>
      <c r="W158" s="326"/>
      <c r="Y158" s="1266"/>
      <c r="Z158" s="1266"/>
      <c r="AA158" s="1266"/>
      <c r="AB158" s="1266"/>
      <c r="AC158" s="1266"/>
      <c r="AD158" s="1266"/>
      <c r="AE158" s="1266"/>
      <c r="AF158" s="1266"/>
      <c r="AG158" s="1266"/>
      <c r="AH158" s="1266"/>
      <c r="AI158" s="1266"/>
      <c r="AJ158" s="1266"/>
      <c r="AK158" s="1266"/>
    </row>
    <row customHeight="1" ht="17.25">
      <c r="G159" s="1846"/>
      <c r="H159" s="1846"/>
      <c r="I159" s="1846"/>
      <c r="M159" s="1842"/>
    </row>
    <row s="1860" customFormat="1" customHeight="1" ht="17.25">
      <c r="A160" s="1847"/>
      <c r="C160" s="1849"/>
      <c r="D160" s="1837"/>
      <c r="E160" s="1854"/>
      <c r="F160" s="1791"/>
      <c r="G160" s="1855"/>
      <c r="H160" s="2536"/>
      <c r="I160" s="2536">
        <v>1</v>
      </c>
      <c r="J160" s="2508"/>
      <c r="K160" s="2192" t="s">
        <v>66</v>
      </c>
      <c r="L160" s="2115"/>
      <c r="M160" s="2115" t="s">
        <v>108</v>
      </c>
      <c r="N160" s="2511" t="str">
        <f>IF(Z160="","",INDEX(TERRITORY_MR_LIST,MATCH(Z160,TERRITORY_LIST_ID,0)))</f>
        <v/>
      </c>
      <c r="O160" s="2192" t="s">
        <v>66</v>
      </c>
      <c r="P160" s="2115"/>
      <c r="Q160" s="2115" t="s">
        <v>108</v>
      </c>
      <c r="R160" s="2509" t="s">
        <v>28</v>
      </c>
      <c r="S160" s="2114" t="s">
        <v>66</v>
      </c>
      <c r="T160" s="1818"/>
      <c r="U160" s="1818" t="s">
        <v>108</v>
      </c>
      <c r="V160" s="1850" t="s">
        <v>28</v>
      </c>
      <c r="W160" s="1808"/>
      <c r="Y160" s="1274"/>
      <c r="Z160" s="1274"/>
      <c r="AA160" s="1274"/>
      <c r="AB160" s="1274"/>
      <c r="AC160" s="1274"/>
      <c r="AD160" s="1274"/>
      <c r="AE160" s="1274"/>
      <c r="AF160" s="1274"/>
      <c r="AG160" s="1274"/>
      <c r="AH160" s="1274"/>
      <c r="AI160" s="1274"/>
      <c r="AJ160" s="1274"/>
      <c r="AK160" s="1274"/>
      <c r="AL160" s="1851"/>
      <c r="AM160" s="1851"/>
      <c r="AN160" s="1274"/>
      <c r="AO160" s="1274"/>
      <c r="AP160" s="1274"/>
      <c r="AQ160" s="1274"/>
    </row>
    <row s="1860" customFormat="1" customHeight="1" ht="17.25">
      <c r="A161" s="1847"/>
      <c r="C161" s="1852"/>
      <c r="D161" s="1837"/>
      <c r="E161" s="1854"/>
      <c r="F161" s="1791"/>
      <c r="G161" s="1855"/>
      <c r="H161" s="2536"/>
      <c r="I161" s="2536"/>
      <c r="J161" s="2508"/>
      <c r="K161" s="2193"/>
      <c r="L161" s="2115"/>
      <c r="M161" s="2115"/>
      <c r="N161" s="2511"/>
      <c r="O161" s="2193"/>
      <c r="P161" s="2115"/>
      <c r="Q161" s="2115"/>
      <c r="R161" s="2509"/>
      <c r="S161" s="2114"/>
      <c r="T161" s="324"/>
      <c r="U161" s="325"/>
      <c r="V161" s="325" t="s">
        <v>577</v>
      </c>
      <c r="W161" s="326"/>
      <c r="Y161" s="1266"/>
      <c r="Z161" s="1266"/>
      <c r="AA161" s="1266"/>
      <c r="AB161" s="1266"/>
      <c r="AC161" s="1266"/>
      <c r="AD161" s="1266"/>
      <c r="AE161" s="1266"/>
      <c r="AF161" s="1266"/>
      <c r="AG161" s="1266"/>
      <c r="AH161" s="1266"/>
      <c r="AI161" s="1266"/>
      <c r="AJ161" s="1266"/>
      <c r="AK161" s="1266"/>
    </row>
    <row s="1860" customFormat="1" customHeight="1" ht="17.25">
      <c r="A162" s="1847"/>
      <c r="C162" s="1852"/>
      <c r="D162" s="1837"/>
      <c r="E162" s="1854"/>
      <c r="F162" s="1791"/>
      <c r="G162" s="1855"/>
      <c r="H162" s="2510"/>
      <c r="I162" s="2510"/>
      <c r="J162" s="2540"/>
      <c r="K162" s="2193"/>
      <c r="L162" s="2510"/>
      <c r="M162" s="2510"/>
      <c r="N162" s="2512"/>
      <c r="O162" s="2119"/>
      <c r="P162" s="324"/>
      <c r="Q162" s="325"/>
      <c r="R162" s="325" t="s">
        <v>316</v>
      </c>
      <c r="S162" s="1853"/>
      <c r="T162" s="1853"/>
      <c r="U162" s="1853"/>
      <c r="V162" s="1853"/>
      <c r="W162" s="326"/>
      <c r="Y162" s="1266"/>
      <c r="Z162" s="1266"/>
      <c r="AA162" s="1266"/>
      <c r="AB162" s="1266"/>
      <c r="AC162" s="1266"/>
      <c r="AD162" s="1266"/>
      <c r="AE162" s="1266"/>
      <c r="AF162" s="1266"/>
      <c r="AG162" s="1266"/>
      <c r="AH162" s="1266"/>
      <c r="AI162" s="1266"/>
      <c r="AJ162" s="1266"/>
      <c r="AK162" s="1266"/>
    </row>
    <row s="1860" customFormat="1" customHeight="1" ht="17.25">
      <c r="A163" s="1847"/>
      <c r="C163" s="1852"/>
      <c r="D163" s="1837"/>
      <c r="E163" s="1854"/>
      <c r="F163" s="1791"/>
      <c r="G163" s="1855"/>
      <c r="H163" s="2510"/>
      <c r="I163" s="2510"/>
      <c r="J163" s="2540"/>
      <c r="K163" s="2119"/>
      <c r="L163" s="324"/>
      <c r="M163" s="325"/>
      <c r="N163" s="325" t="s">
        <v>390</v>
      </c>
      <c r="O163" s="325"/>
      <c r="P163" s="325"/>
      <c r="Q163" s="325"/>
      <c r="R163" s="325"/>
      <c r="S163" s="1853"/>
      <c r="T163" s="1853"/>
      <c r="U163" s="1853"/>
      <c r="V163" s="1853"/>
      <c r="W163" s="326"/>
      <c r="Y163" s="1266"/>
      <c r="Z163" s="1266"/>
      <c r="AA163" s="1266"/>
      <c r="AB163" s="1266"/>
      <c r="AC163" s="1266"/>
      <c r="AD163" s="1266"/>
      <c r="AE163" s="1266"/>
      <c r="AF163" s="1266"/>
      <c r="AG163" s="1266"/>
      <c r="AH163" s="1266"/>
      <c r="AI163" s="1266"/>
      <c r="AJ163" s="1266"/>
      <c r="AK163" s="1266"/>
    </row>
    <row customHeight="1" ht="17.25">
      <c r="G164" s="1846"/>
      <c r="H164" s="1846"/>
      <c r="I164" s="1846"/>
      <c r="M164" s="1842"/>
    </row>
    <row s="1860" customFormat="1" customHeight="1" ht="17.25">
      <c r="A165" s="1847"/>
      <c r="C165" s="1849"/>
      <c r="D165" s="1837"/>
      <c r="E165" s="1854"/>
      <c r="F165" s="1791"/>
      <c r="G165" s="1855"/>
      <c r="H165" s="1837"/>
      <c r="I165" s="1837"/>
      <c r="J165" s="1856"/>
      <c r="K165" s="1767"/>
      <c r="L165" s="2115"/>
      <c r="M165" s="2115" t="s">
        <v>108</v>
      </c>
      <c r="N165" s="2511" t="str">
        <f>IF(Z165="","",INDEX(TERRITORY_MR_LIST,MATCH(Z165,TERRITORY_LIST_ID,0)))</f>
        <v/>
      </c>
      <c r="O165" s="2192" t="s">
        <v>66</v>
      </c>
      <c r="P165" s="2115"/>
      <c r="Q165" s="2115" t="s">
        <v>108</v>
      </c>
      <c r="R165" s="2509" t="s">
        <v>28</v>
      </c>
      <c r="S165" s="2114" t="s">
        <v>66</v>
      </c>
      <c r="T165" s="1818"/>
      <c r="U165" s="1818" t="s">
        <v>108</v>
      </c>
      <c r="V165" s="1850" t="s">
        <v>28</v>
      </c>
      <c r="W165" s="1808"/>
      <c r="Y165" s="1274"/>
      <c r="Z165" s="1274"/>
      <c r="AA165" s="1274"/>
      <c r="AB165" s="1274"/>
      <c r="AC165" s="1274"/>
      <c r="AD165" s="1274"/>
      <c r="AE165" s="1274"/>
      <c r="AF165" s="1274"/>
      <c r="AG165" s="1274"/>
      <c r="AH165" s="1274"/>
      <c r="AI165" s="1274"/>
      <c r="AJ165" s="1274"/>
      <c r="AK165" s="1274"/>
      <c r="AL165" s="1851"/>
      <c r="AM165" s="1851"/>
      <c r="AN165" s="1274"/>
      <c r="AO165" s="1274"/>
      <c r="AP165" s="1274"/>
      <c r="AQ165" s="1274"/>
    </row>
    <row s="1860" customFormat="1" customHeight="1" ht="17.25">
      <c r="A166" s="1847"/>
      <c r="C166" s="1852"/>
      <c r="D166" s="1837"/>
      <c r="E166" s="1854"/>
      <c r="F166" s="1791"/>
      <c r="G166" s="1855"/>
      <c r="H166" s="1837"/>
      <c r="I166" s="1837"/>
      <c r="J166" s="1856"/>
      <c r="K166" s="1767"/>
      <c r="L166" s="2115"/>
      <c r="M166" s="2115"/>
      <c r="N166" s="2511"/>
      <c r="O166" s="2193"/>
      <c r="P166" s="2115"/>
      <c r="Q166" s="2115"/>
      <c r="R166" s="2509"/>
      <c r="S166" s="2114"/>
      <c r="T166" s="324"/>
      <c r="U166" s="325"/>
      <c r="V166" s="325" t="s">
        <v>577</v>
      </c>
      <c r="W166" s="326"/>
      <c r="Y166" s="1266"/>
      <c r="Z166" s="1266"/>
      <c r="AA166" s="1266"/>
      <c r="AB166" s="1266"/>
      <c r="AC166" s="1266"/>
      <c r="AD166" s="1266"/>
      <c r="AE166" s="1266"/>
      <c r="AF166" s="1266"/>
      <c r="AG166" s="1266"/>
      <c r="AH166" s="1266"/>
      <c r="AI166" s="1266"/>
      <c r="AJ166" s="1266"/>
      <c r="AK166" s="1266"/>
    </row>
    <row s="1860" customFormat="1" customHeight="1" ht="17.25">
      <c r="A167" s="1847"/>
      <c r="C167" s="1852"/>
      <c r="D167" s="1837"/>
      <c r="E167" s="1854"/>
      <c r="F167" s="1791"/>
      <c r="G167" s="1855"/>
      <c r="H167" s="1837"/>
      <c r="I167" s="1837"/>
      <c r="J167" s="1856"/>
      <c r="K167" s="1767"/>
      <c r="L167" s="2510"/>
      <c r="M167" s="2510"/>
      <c r="N167" s="2512"/>
      <c r="O167" s="2119"/>
      <c r="P167" s="324"/>
      <c r="Q167" s="325"/>
      <c r="R167" s="325" t="s">
        <v>316</v>
      </c>
      <c r="S167" s="1853"/>
      <c r="T167" s="1853"/>
      <c r="U167" s="1853"/>
      <c r="V167" s="1853"/>
      <c r="W167" s="326"/>
      <c r="Y167" s="1266"/>
      <c r="Z167" s="1266"/>
      <c r="AA167" s="1266"/>
      <c r="AB167" s="1266"/>
      <c r="AC167" s="1266"/>
      <c r="AD167" s="1266"/>
      <c r="AE167" s="1266"/>
      <c r="AF167" s="1266"/>
      <c r="AG167" s="1266"/>
      <c r="AH167" s="1266"/>
      <c r="AI167" s="1266"/>
      <c r="AJ167" s="1266"/>
      <c r="AK167" s="1266"/>
    </row>
    <row customHeight="1" ht="17.25">
      <c r="G168" s="1846"/>
      <c r="H168" s="1846"/>
      <c r="I168" s="1846"/>
      <c r="M168" s="1842"/>
    </row>
    <row s="1860" customFormat="1" customHeight="1" ht="17.25">
      <c r="A169" s="1847"/>
      <c r="C169" s="1849"/>
      <c r="D169" s="1837"/>
      <c r="E169" s="1854"/>
      <c r="F169" s="1791"/>
      <c r="G169" s="1855"/>
      <c r="H169" s="1837"/>
      <c r="I169" s="1837"/>
      <c r="J169" s="1856"/>
      <c r="K169" s="1767"/>
      <c r="L169" s="1763"/>
      <c r="M169" s="1763"/>
      <c r="N169" s="2055"/>
      <c r="O169" s="1794"/>
      <c r="P169" s="2115"/>
      <c r="Q169" s="2115" t="s">
        <v>108</v>
      </c>
      <c r="R169" s="2509" t="s">
        <v>28</v>
      </c>
      <c r="S169" s="2114" t="s">
        <v>66</v>
      </c>
      <c r="T169" s="1818"/>
      <c r="U169" s="1818" t="s">
        <v>108</v>
      </c>
      <c r="V169" s="1850" t="s">
        <v>28</v>
      </c>
      <c r="W169" s="1808"/>
      <c r="Y169" s="1274"/>
      <c r="Z169" s="1274"/>
      <c r="AA169" s="1274"/>
      <c r="AB169" s="1274"/>
      <c r="AC169" s="1274"/>
      <c r="AD169" s="1274"/>
      <c r="AE169" s="1274"/>
      <c r="AF169" s="1274"/>
      <c r="AG169" s="1274"/>
      <c r="AH169" s="1274"/>
      <c r="AI169" s="1274"/>
      <c r="AJ169" s="1274"/>
      <c r="AK169" s="1274"/>
      <c r="AL169" s="1851"/>
      <c r="AM169" s="1851"/>
      <c r="AN169" s="1274"/>
      <c r="AO169" s="1274"/>
      <c r="AP169" s="1274"/>
      <c r="AQ169" s="1274"/>
    </row>
    <row s="1860" customFormat="1" customHeight="1" ht="17.25">
      <c r="A170" s="1847"/>
      <c r="C170" s="1852"/>
      <c r="D170" s="1837"/>
      <c r="E170" s="1854"/>
      <c r="F170" s="1791"/>
      <c r="G170" s="1855"/>
      <c r="H170" s="1837"/>
      <c r="I170" s="1837"/>
      <c r="J170" s="1856"/>
      <c r="K170" s="1767"/>
      <c r="L170" s="1763"/>
      <c r="M170" s="1763"/>
      <c r="N170" s="2055"/>
      <c r="O170" s="1794"/>
      <c r="P170" s="2115"/>
      <c r="Q170" s="2115"/>
      <c r="R170" s="2509"/>
      <c r="S170" s="2114"/>
      <c r="T170" s="324"/>
      <c r="U170" s="325"/>
      <c r="V170" s="325" t="s">
        <v>577</v>
      </c>
      <c r="W170" s="326"/>
      <c r="Y170" s="1266"/>
      <c r="Z170" s="1266"/>
      <c r="AA170" s="1266"/>
      <c r="AB170" s="1266"/>
      <c r="AC170" s="1266"/>
      <c r="AD170" s="1266"/>
      <c r="AE170" s="1266"/>
      <c r="AF170" s="1266"/>
      <c r="AG170" s="1266"/>
      <c r="AH170" s="1266"/>
      <c r="AI170" s="1266"/>
      <c r="AJ170" s="1266"/>
      <c r="AK170" s="1266"/>
    </row>
    <row customHeight="1" ht="17.25">
      <c r="G171" s="1846"/>
      <c r="H171" s="1846"/>
      <c r="I171" s="1846"/>
      <c r="M171" s="1842"/>
    </row>
    <row s="1860" customFormat="1" customHeight="1" ht="17.25">
      <c r="A172" s="1847"/>
      <c r="C172" s="1849"/>
      <c r="D172" s="1837"/>
      <c r="E172" s="1854"/>
      <c r="F172" s="1791"/>
      <c r="G172" s="1855"/>
      <c r="H172" s="1763"/>
      <c r="I172" s="1763"/>
      <c r="J172" s="1764"/>
      <c r="K172" s="1855"/>
      <c r="L172" s="1763"/>
      <c r="M172" s="1763"/>
      <c r="N172" s="1855"/>
      <c r="O172" s="1855"/>
      <c r="P172" s="1763"/>
      <c r="Q172" s="1763"/>
      <c r="R172" s="1765"/>
      <c r="S172" s="1855"/>
      <c r="T172" s="1818"/>
      <c r="U172" s="1818" t="s">
        <v>108</v>
      </c>
      <c r="V172" s="1850" t="s">
        <v>28</v>
      </c>
      <c r="W172" s="1808"/>
      <c r="Y172" s="1274"/>
      <c r="Z172" s="1274"/>
      <c r="AA172" s="1274"/>
      <c r="AB172" s="1274"/>
      <c r="AC172" s="1274"/>
      <c r="AD172" s="1274"/>
      <c r="AE172" s="1274"/>
      <c r="AF172" s="1274"/>
      <c r="AG172" s="1274"/>
      <c r="AH172" s="1274"/>
      <c r="AI172" s="1274"/>
      <c r="AJ172" s="1274"/>
      <c r="AK172" s="1274"/>
      <c r="AL172" s="1851"/>
      <c r="AM172" s="1851"/>
      <c r="AN172" s="1274"/>
      <c r="AO172" s="1274"/>
      <c r="AP172" s="1274"/>
      <c r="AQ172" s="1274"/>
    </row>
    <row r="174" s="1822" customFormat="1" customHeight="1" ht="17.25">
      <c r="A174" s="1822" t="s">
        <v>2091</v>
      </c>
    </row>
    <row customHeight="1" ht="17.25">
      <c r="G175" s="1846"/>
      <c r="H175" s="1846"/>
      <c r="I175" s="1846"/>
      <c r="M175" s="1842"/>
    </row>
    <row s="1860" customFormat="1" customHeight="1" ht="17.25">
      <c r="A176" s="1847"/>
      <c r="C176" s="1849"/>
      <c r="D176" s="2536"/>
      <c r="E176" s="2150"/>
      <c r="F176" s="2152"/>
      <c r="G176" s="2538"/>
      <c r="H176" s="2536"/>
      <c r="I176" s="2536">
        <v>1</v>
      </c>
      <c r="J176" s="2508"/>
      <c r="K176" s="2192" t="s">
        <v>66</v>
      </c>
      <c r="L176" s="2115"/>
      <c r="M176" s="2115" t="s">
        <v>108</v>
      </c>
      <c r="N176" s="2511" t="str">
        <f>IF(Z176="","",INDEX(TERRITORY_MR_LIST,MATCH(Z176,TERRITORY_LIST_ID,0)))</f>
        <v/>
      </c>
      <c r="O176" s="2192" t="s">
        <v>66</v>
      </c>
      <c r="P176" s="2115"/>
      <c r="Q176" s="2115" t="s">
        <v>108</v>
      </c>
      <c r="R176" s="2509" t="s">
        <v>28</v>
      </c>
      <c r="S176" s="2413" t="s">
        <v>19</v>
      </c>
      <c r="T176" s="1809"/>
      <c r="U176" s="1809" t="s">
        <v>108</v>
      </c>
      <c r="V176" s="1441"/>
      <c r="W176" s="2508"/>
      <c r="Y176" s="1274"/>
      <c r="Z176" s="1274"/>
      <c r="AA176" s="1274"/>
      <c r="AB176" s="1274"/>
      <c r="AC176" s="1274"/>
      <c r="AD176" s="1274"/>
      <c r="AE176" s="1274"/>
      <c r="AF176" s="1274"/>
      <c r="AG176" s="1274"/>
      <c r="AH176" s="1274"/>
      <c r="AI176" s="1274"/>
      <c r="AJ176" s="1274"/>
      <c r="AK176" s="1274"/>
      <c r="AL176" s="1851"/>
      <c r="AM176" s="1851"/>
      <c r="AN176" s="1274"/>
      <c r="AO176" s="1274"/>
      <c r="AP176" s="1274"/>
      <c r="AQ176" s="1274"/>
    </row>
    <row s="1860" customFormat="1" customHeight="1" ht="17.25">
      <c r="A177" s="1847"/>
      <c r="C177" s="1852"/>
      <c r="D177" s="2536"/>
      <c r="E177" s="2150"/>
      <c r="F177" s="2153"/>
      <c r="G177" s="2538"/>
      <c r="H177" s="2536"/>
      <c r="I177" s="2536"/>
      <c r="J177" s="2508"/>
      <c r="K177" s="2193"/>
      <c r="L177" s="2115"/>
      <c r="M177" s="2115"/>
      <c r="N177" s="2511"/>
      <c r="O177" s="2193"/>
      <c r="P177" s="2115"/>
      <c r="Q177" s="2115"/>
      <c r="R177" s="2509"/>
      <c r="S177" s="2413"/>
      <c r="T177" s="1442"/>
      <c r="U177" s="1443"/>
      <c r="V177" s="1443"/>
      <c r="W177" s="2508"/>
      <c r="Y177" s="1266"/>
      <c r="Z177" s="1266"/>
      <c r="AA177" s="1266"/>
      <c r="AB177" s="1266"/>
      <c r="AC177" s="1266"/>
      <c r="AD177" s="1266"/>
      <c r="AE177" s="1266"/>
      <c r="AF177" s="1266"/>
      <c r="AG177" s="1266"/>
      <c r="AH177" s="1266"/>
      <c r="AI177" s="1266"/>
      <c r="AJ177" s="1266"/>
      <c r="AK177" s="1266"/>
    </row>
    <row s="1860" customFormat="1" customHeight="1" ht="17.25">
      <c r="A178" s="1847"/>
      <c r="C178" s="1852"/>
      <c r="D178" s="2510"/>
      <c r="E178" s="2537"/>
      <c r="F178" s="2153"/>
      <c r="G178" s="2539"/>
      <c r="H178" s="2510"/>
      <c r="I178" s="2510"/>
      <c r="J178" s="2540"/>
      <c r="K178" s="2193"/>
      <c r="L178" s="2510"/>
      <c r="M178" s="2510"/>
      <c r="N178" s="2512"/>
      <c r="O178" s="2119"/>
      <c r="P178" s="324"/>
      <c r="Q178" s="325"/>
      <c r="R178" s="325" t="s">
        <v>316</v>
      </c>
      <c r="S178" s="1853"/>
      <c r="T178" s="1853"/>
      <c r="U178" s="1853"/>
      <c r="V178" s="1853"/>
      <c r="W178" s="1440"/>
      <c r="Y178" s="1266"/>
      <c r="Z178" s="1266"/>
      <c r="AA178" s="1266"/>
      <c r="AB178" s="1266"/>
      <c r="AC178" s="1266"/>
      <c r="AD178" s="1266"/>
      <c r="AE178" s="1266"/>
      <c r="AF178" s="1266"/>
      <c r="AG178" s="1266"/>
      <c r="AH178" s="1266"/>
      <c r="AI178" s="1266"/>
      <c r="AJ178" s="1266"/>
      <c r="AK178" s="1266"/>
    </row>
    <row s="1860" customFormat="1" customHeight="1" ht="17.25">
      <c r="A179" s="1847"/>
      <c r="C179" s="1852"/>
      <c r="D179" s="2510"/>
      <c r="E179" s="2537"/>
      <c r="F179" s="2153"/>
      <c r="G179" s="2539"/>
      <c r="H179" s="2510"/>
      <c r="I179" s="2510"/>
      <c r="J179" s="2540"/>
      <c r="K179" s="2119"/>
      <c r="L179" s="324"/>
      <c r="M179" s="325"/>
      <c r="N179" s="325" t="s">
        <v>390</v>
      </c>
      <c r="O179" s="325"/>
      <c r="P179" s="325"/>
      <c r="Q179" s="325"/>
      <c r="R179" s="325"/>
      <c r="S179" s="1853"/>
      <c r="T179" s="1853"/>
      <c r="U179" s="1853"/>
      <c r="V179" s="1853"/>
      <c r="W179" s="326"/>
      <c r="Y179" s="1266"/>
      <c r="Z179" s="1266"/>
      <c r="AA179" s="1266"/>
      <c r="AB179" s="1266"/>
      <c r="AC179" s="1266"/>
      <c r="AD179" s="1266"/>
      <c r="AE179" s="1266"/>
      <c r="AF179" s="1266"/>
      <c r="AG179" s="1266"/>
      <c r="AH179" s="1266"/>
      <c r="AI179" s="1266"/>
      <c r="AJ179" s="1266"/>
      <c r="AK179" s="1266"/>
    </row>
    <row s="1860" customFormat="1" customHeight="1" ht="17.25">
      <c r="A180" s="1847"/>
      <c r="C180" s="1852"/>
      <c r="D180" s="2510"/>
      <c r="E180" s="2537"/>
      <c r="F180" s="2154"/>
      <c r="G180" s="2539"/>
      <c r="H180" s="324"/>
      <c r="I180" s="325"/>
      <c r="J180" s="325" t="s">
        <v>391</v>
      </c>
      <c r="K180" s="325"/>
      <c r="L180" s="325"/>
      <c r="M180" s="325"/>
      <c r="N180" s="325"/>
      <c r="O180" s="325"/>
      <c r="P180" s="325"/>
      <c r="Q180" s="325"/>
      <c r="R180" s="325"/>
      <c r="S180" s="1853"/>
      <c r="T180" s="1853"/>
      <c r="U180" s="1853"/>
      <c r="V180" s="1853"/>
      <c r="W180" s="326"/>
      <c r="Y180" s="1266"/>
      <c r="Z180" s="1266"/>
      <c r="AA180" s="1266"/>
      <c r="AB180" s="1266"/>
      <c r="AC180" s="1266"/>
      <c r="AD180" s="1266"/>
      <c r="AE180" s="1266"/>
      <c r="AF180" s="1266"/>
      <c r="AG180" s="1266"/>
      <c r="AH180" s="1266"/>
      <c r="AI180" s="1266"/>
      <c r="AJ180" s="1266"/>
      <c r="AK180" s="1266"/>
    </row>
    <row customHeight="1" ht="17.25">
      <c r="A181" s="1857"/>
    </row>
    <row s="1860" customFormat="1" customHeight="1" ht="17.25">
      <c r="A182" s="1847"/>
      <c r="C182" s="1849"/>
      <c r="D182" s="1837"/>
      <c r="E182" s="1854"/>
      <c r="F182" s="1791"/>
      <c r="G182" s="1855"/>
      <c r="H182" s="2536"/>
      <c r="I182" s="2536">
        <v>1</v>
      </c>
      <c r="J182" s="2508"/>
      <c r="K182" s="2192" t="s">
        <v>66</v>
      </c>
      <c r="L182" s="2115"/>
      <c r="M182" s="2115" t="s">
        <v>108</v>
      </c>
      <c r="N182" s="2511" t="str">
        <f>IF(Z182="","",INDEX(TERRITORY_MR_LIST,MATCH(Z182,TERRITORY_LIST_ID,0)))</f>
        <v/>
      </c>
      <c r="O182" s="2192" t="s">
        <v>66</v>
      </c>
      <c r="P182" s="2115"/>
      <c r="Q182" s="2115" t="s">
        <v>108</v>
      </c>
      <c r="R182" s="2509" t="s">
        <v>28</v>
      </c>
      <c r="S182" s="2413" t="s">
        <v>19</v>
      </c>
      <c r="T182" s="1809"/>
      <c r="U182" s="1809" t="s">
        <v>108</v>
      </c>
      <c r="V182" s="1441"/>
      <c r="W182" s="2508"/>
      <c r="Y182" s="1274"/>
      <c r="Z182" s="1274"/>
      <c r="AA182" s="1274"/>
      <c r="AB182" s="1274"/>
      <c r="AC182" s="1274"/>
      <c r="AD182" s="1274"/>
      <c r="AE182" s="1274"/>
      <c r="AF182" s="1274"/>
      <c r="AG182" s="1274"/>
      <c r="AH182" s="1274"/>
      <c r="AI182" s="1274"/>
      <c r="AJ182" s="1274"/>
      <c r="AK182" s="1274"/>
      <c r="AL182" s="1851"/>
      <c r="AM182" s="1851"/>
      <c r="AN182" s="1274"/>
      <c r="AO182" s="1274"/>
      <c r="AP182" s="1274"/>
      <c r="AQ182" s="1274"/>
    </row>
    <row s="1860" customFormat="1" customHeight="1" ht="17.25">
      <c r="A183" s="1847"/>
      <c r="C183" s="1852"/>
      <c r="D183" s="1837"/>
      <c r="E183" s="1854"/>
      <c r="F183" s="1791"/>
      <c r="G183" s="1855"/>
      <c r="H183" s="2536"/>
      <c r="I183" s="2536"/>
      <c r="J183" s="2508"/>
      <c r="K183" s="2193"/>
      <c r="L183" s="2115"/>
      <c r="M183" s="2115"/>
      <c r="N183" s="2511"/>
      <c r="O183" s="2193"/>
      <c r="P183" s="2115"/>
      <c r="Q183" s="2115"/>
      <c r="R183" s="2509"/>
      <c r="S183" s="2413"/>
      <c r="T183" s="1442"/>
      <c r="U183" s="1443"/>
      <c r="V183" s="1443"/>
      <c r="W183" s="2508"/>
      <c r="Y183" s="1266"/>
      <c r="Z183" s="1266"/>
      <c r="AA183" s="1266"/>
      <c r="AB183" s="1266"/>
      <c r="AC183" s="1266"/>
      <c r="AD183" s="1266"/>
      <c r="AE183" s="1266"/>
      <c r="AF183" s="1266"/>
      <c r="AG183" s="1266"/>
      <c r="AH183" s="1266"/>
      <c r="AI183" s="1266"/>
      <c r="AJ183" s="1266"/>
      <c r="AK183" s="1266"/>
    </row>
    <row s="1860" customFormat="1" customHeight="1" ht="17.25">
      <c r="A184" s="1847"/>
      <c r="C184" s="1852"/>
      <c r="D184" s="1837"/>
      <c r="E184" s="1854"/>
      <c r="F184" s="1791"/>
      <c r="G184" s="1855"/>
      <c r="H184" s="2510"/>
      <c r="I184" s="2510"/>
      <c r="J184" s="2540"/>
      <c r="K184" s="2193"/>
      <c r="L184" s="2510"/>
      <c r="M184" s="2510"/>
      <c r="N184" s="2512"/>
      <c r="O184" s="2119"/>
      <c r="P184" s="324"/>
      <c r="Q184" s="325"/>
      <c r="R184" s="325" t="s">
        <v>316</v>
      </c>
      <c r="S184" s="1853"/>
      <c r="T184" s="1853"/>
      <c r="U184" s="1853"/>
      <c r="V184" s="1853"/>
      <c r="W184" s="1440"/>
      <c r="Y184" s="1266"/>
      <c r="Z184" s="1266"/>
      <c r="AA184" s="1266"/>
      <c r="AB184" s="1266"/>
      <c r="AC184" s="1266"/>
      <c r="AD184" s="1266"/>
      <c r="AE184" s="1266"/>
      <c r="AF184" s="1266"/>
      <c r="AG184" s="1266"/>
      <c r="AH184" s="1266"/>
      <c r="AI184" s="1266"/>
      <c r="AJ184" s="1266"/>
      <c r="AK184" s="1266"/>
    </row>
    <row s="1860" customFormat="1" customHeight="1" ht="17.25">
      <c r="A185" s="1847"/>
      <c r="C185" s="1852"/>
      <c r="D185" s="1837"/>
      <c r="E185" s="1854"/>
      <c r="F185" s="1791"/>
      <c r="G185" s="1855"/>
      <c r="H185" s="2510"/>
      <c r="I185" s="2510"/>
      <c r="J185" s="2540"/>
      <c r="K185" s="2119"/>
      <c r="L185" s="324"/>
      <c r="M185" s="325"/>
      <c r="N185" s="325" t="s">
        <v>390</v>
      </c>
      <c r="O185" s="325"/>
      <c r="P185" s="325"/>
      <c r="Q185" s="325"/>
      <c r="R185" s="325"/>
      <c r="S185" s="1853"/>
      <c r="T185" s="1853"/>
      <c r="U185" s="1853"/>
      <c r="V185" s="1853"/>
      <c r="W185" s="326"/>
      <c r="Y185" s="1266"/>
      <c r="Z185" s="1266"/>
      <c r="AA185" s="1266"/>
      <c r="AB185" s="1266"/>
      <c r="AC185" s="1266"/>
      <c r="AD185" s="1266"/>
      <c r="AE185" s="1266"/>
      <c r="AF185" s="1266"/>
      <c r="AG185" s="1266"/>
      <c r="AH185" s="1266"/>
      <c r="AI185" s="1266"/>
      <c r="AJ185" s="1266"/>
      <c r="AK185" s="1266"/>
    </row>
    <row customHeight="1" ht="17.25">
      <c r="A186" s="1857"/>
    </row>
    <row s="1860" customFormat="1" customHeight="1" ht="17.25">
      <c r="A187" s="1847"/>
      <c r="C187" s="1849"/>
      <c r="D187" s="1837"/>
      <c r="E187" s="1854"/>
      <c r="F187" s="1791"/>
      <c r="G187" s="1855"/>
      <c r="H187" s="1837"/>
      <c r="I187" s="1837"/>
      <c r="J187" s="1858"/>
      <c r="K187" s="1855"/>
      <c r="L187" s="2115"/>
      <c r="M187" s="2115" t="s">
        <v>108</v>
      </c>
      <c r="N187" s="2511" t="str">
        <f>IF(Z187="","",INDEX(TERRITORY_MR_LIST,MATCH(Z187,TERRITORY_LIST_ID,0)))</f>
        <v/>
      </c>
      <c r="O187" s="2192" t="s">
        <v>66</v>
      </c>
      <c r="P187" s="2115"/>
      <c r="Q187" s="2115" t="s">
        <v>108</v>
      </c>
      <c r="R187" s="2509" t="s">
        <v>28</v>
      </c>
      <c r="S187" s="2413" t="s">
        <v>19</v>
      </c>
      <c r="T187" s="1809"/>
      <c r="U187" s="1809" t="s">
        <v>108</v>
      </c>
      <c r="V187" s="1441"/>
      <c r="W187" s="2508"/>
      <c r="Y187" s="1274"/>
      <c r="Z187" s="1274"/>
      <c r="AA187" s="1274"/>
      <c r="AB187" s="1274"/>
      <c r="AC187" s="1274"/>
      <c r="AD187" s="1274"/>
      <c r="AE187" s="1274"/>
      <c r="AF187" s="1274"/>
      <c r="AG187" s="1274"/>
      <c r="AH187" s="1274"/>
      <c r="AI187" s="1274"/>
      <c r="AJ187" s="1274"/>
      <c r="AK187" s="1274"/>
      <c r="AL187" s="1851"/>
      <c r="AM187" s="1851"/>
      <c r="AN187" s="1274"/>
      <c r="AO187" s="1274"/>
      <c r="AP187" s="1274"/>
      <c r="AQ187" s="1274"/>
    </row>
    <row s="1860" customFormat="1" customHeight="1" ht="17.25">
      <c r="A188" s="1847"/>
      <c r="C188" s="1852"/>
      <c r="D188" s="1837"/>
      <c r="E188" s="1854"/>
      <c r="F188" s="1791"/>
      <c r="G188" s="1855"/>
      <c r="H188" s="1837"/>
      <c r="I188" s="1837"/>
      <c r="J188" s="1858"/>
      <c r="K188" s="1855"/>
      <c r="L188" s="2115"/>
      <c r="M188" s="2115"/>
      <c r="N188" s="2511"/>
      <c r="O188" s="2193"/>
      <c r="P188" s="2115"/>
      <c r="Q188" s="2115"/>
      <c r="R188" s="2509"/>
      <c r="S188" s="2413"/>
      <c r="T188" s="1442"/>
      <c r="U188" s="1443"/>
      <c r="V188" s="1443"/>
      <c r="W188" s="2508"/>
      <c r="Y188" s="1266"/>
      <c r="Z188" s="1266"/>
      <c r="AA188" s="1266"/>
      <c r="AB188" s="1266"/>
      <c r="AC188" s="1266"/>
      <c r="AD188" s="1266"/>
      <c r="AE188" s="1266"/>
      <c r="AF188" s="1266"/>
      <c r="AG188" s="1266"/>
      <c r="AH188" s="1266"/>
      <c r="AI188" s="1266"/>
      <c r="AJ188" s="1266"/>
      <c r="AK188" s="1266"/>
    </row>
    <row s="1860" customFormat="1" customHeight="1" ht="17.25">
      <c r="A189" s="1847"/>
      <c r="C189" s="1852"/>
      <c r="D189" s="1837"/>
      <c r="E189" s="1854"/>
      <c r="F189" s="1791"/>
      <c r="G189" s="1855"/>
      <c r="H189" s="1837"/>
      <c r="I189" s="1837"/>
      <c r="J189" s="1858"/>
      <c r="K189" s="1855"/>
      <c r="L189" s="2510"/>
      <c r="M189" s="2510"/>
      <c r="N189" s="2512"/>
      <c r="O189" s="2119"/>
      <c r="P189" s="324"/>
      <c r="Q189" s="325"/>
      <c r="R189" s="325" t="s">
        <v>316</v>
      </c>
      <c r="S189" s="1853"/>
      <c r="T189" s="1853"/>
      <c r="U189" s="1853"/>
      <c r="V189" s="1853"/>
      <c r="W189" s="1440"/>
      <c r="Y189" s="1266"/>
      <c r="Z189" s="1266"/>
      <c r="AA189" s="1266"/>
      <c r="AB189" s="1266"/>
      <c r="AC189" s="1266"/>
      <c r="AD189" s="1266"/>
      <c r="AE189" s="1266"/>
      <c r="AF189" s="1266"/>
      <c r="AG189" s="1266"/>
      <c r="AH189" s="1266"/>
      <c r="AI189" s="1266"/>
      <c r="AJ189" s="1266"/>
      <c r="AK189" s="1266"/>
    </row>
    <row customHeight="1" ht="17.25">
      <c r="A190" s="1857"/>
    </row>
    <row s="1860" customFormat="1" customHeight="1" ht="17.25">
      <c r="A191" s="1847"/>
      <c r="C191" s="1849"/>
      <c r="D191" s="1837"/>
      <c r="E191" s="1854"/>
      <c r="F191" s="1791"/>
      <c r="G191" s="1855"/>
      <c r="H191" s="1837"/>
      <c r="I191" s="1837"/>
      <c r="J191" s="1858"/>
      <c r="K191" s="1855"/>
      <c r="L191" s="1837"/>
      <c r="M191" s="1837"/>
      <c r="N191" s="2055"/>
      <c r="O191" s="1794"/>
      <c r="P191" s="2115"/>
      <c r="Q191" s="2115" t="s">
        <v>108</v>
      </c>
      <c r="R191" s="2509" t="s">
        <v>28</v>
      </c>
      <c r="S191" s="2413" t="s">
        <v>19</v>
      </c>
      <c r="T191" s="1809"/>
      <c r="U191" s="1809" t="s">
        <v>108</v>
      </c>
      <c r="V191" s="1441"/>
      <c r="W191" s="2508"/>
      <c r="Y191" s="1274"/>
      <c r="Z191" s="1274"/>
      <c r="AA191" s="1274"/>
      <c r="AB191" s="1274"/>
      <c r="AC191" s="1274"/>
      <c r="AD191" s="1274"/>
      <c r="AE191" s="1274"/>
      <c r="AF191" s="1274"/>
      <c r="AG191" s="1274"/>
      <c r="AH191" s="1274"/>
      <c r="AI191" s="1274"/>
      <c r="AJ191" s="1274"/>
      <c r="AK191" s="1274"/>
      <c r="AL191" s="1851"/>
      <c r="AM191" s="1851"/>
      <c r="AN191" s="1274"/>
      <c r="AO191" s="1274"/>
      <c r="AP191" s="1274"/>
      <c r="AQ191" s="1274"/>
    </row>
    <row s="1860" customFormat="1" customHeight="1" ht="17.25">
      <c r="A192" s="1847"/>
      <c r="C192" s="1852"/>
      <c r="D192" s="1837"/>
      <c r="E192" s="1854"/>
      <c r="F192" s="1791"/>
      <c r="G192" s="1855"/>
      <c r="H192" s="1837"/>
      <c r="I192" s="1837"/>
      <c r="J192" s="1858"/>
      <c r="K192" s="1855"/>
      <c r="L192" s="1837"/>
      <c r="M192" s="1837"/>
      <c r="N192" s="2055"/>
      <c r="O192" s="1794"/>
      <c r="P192" s="2115"/>
      <c r="Q192" s="2115"/>
      <c r="R192" s="2509"/>
      <c r="S192" s="2413"/>
      <c r="T192" s="1442"/>
      <c r="U192" s="1443"/>
      <c r="V192" s="1443"/>
      <c r="W192" s="2508"/>
      <c r="Y192" s="1266"/>
      <c r="Z192" s="1266"/>
      <c r="AA192" s="1266"/>
      <c r="AB192" s="1266"/>
      <c r="AC192" s="1266"/>
      <c r="AD192" s="1266"/>
      <c r="AE192" s="1266"/>
      <c r="AF192" s="1266"/>
      <c r="AG192" s="1266"/>
      <c r="AH192" s="1266"/>
      <c r="AI192" s="1266"/>
      <c r="AJ192" s="1266"/>
      <c r="AK192" s="1266"/>
    </row>
    <row customHeight="1" ht="17.25">
      <c r="A193" s="1857"/>
    </row>
    <row customHeight="1" ht="16.5">
      <c r="A194" s="1847"/>
      <c r="B194" s="1848"/>
      <c r="C194" s="1852"/>
      <c r="D194" s="2560"/>
      <c r="E194" s="2186"/>
      <c r="F194" s="2186"/>
      <c r="G194" s="2134"/>
      <c r="H194" s="2561"/>
      <c r="I194" s="2574"/>
      <c r="J194" s="2159"/>
      <c r="K194" s="2144"/>
      <c r="L194" s="2144"/>
      <c r="M194" s="2144"/>
      <c r="N194" s="2572"/>
      <c r="O194" s="2144"/>
      <c r="P194" s="2144"/>
      <c r="Q194" s="2144"/>
      <c r="R194" s="2570"/>
      <c r="S194" s="2144"/>
      <c r="T194" s="1790"/>
      <c r="U194" s="1790"/>
      <c r="V194" s="1859"/>
      <c r="W194" s="1303"/>
    </row>
    <row customHeight="1" ht="16.5">
      <c r="A195" s="1847"/>
      <c r="B195" s="1848"/>
      <c r="C195" s="1852"/>
      <c r="D195" s="2560"/>
      <c r="E195" s="2186"/>
      <c r="F195" s="2186"/>
      <c r="G195" s="2134"/>
      <c r="H195" s="2562"/>
      <c r="I195" s="2575"/>
      <c r="J195" s="2160"/>
      <c r="K195" s="2145"/>
      <c r="L195" s="2145"/>
      <c r="M195" s="2145"/>
      <c r="N195" s="2573"/>
      <c r="O195" s="2145"/>
      <c r="P195" s="2145"/>
      <c r="Q195" s="2145"/>
      <c r="R195" s="2571"/>
      <c r="S195" s="2145"/>
      <c r="T195" s="1304"/>
      <c r="U195" s="1304"/>
      <c r="V195" s="1304"/>
      <c r="W195" s="1305"/>
    </row>
    <row customHeight="1" ht="17.25">
      <c r="A196" s="1847"/>
      <c r="B196" s="1848"/>
      <c r="C196" s="1852"/>
      <c r="D196" s="2560"/>
      <c r="E196" s="2186"/>
      <c r="F196" s="2186"/>
      <c r="G196" s="2134"/>
      <c r="H196" s="2562"/>
      <c r="I196" s="2575"/>
      <c r="J196" s="2563"/>
      <c r="K196" s="2145"/>
      <c r="L196" s="2145"/>
      <c r="M196" s="2145"/>
      <c r="N196" s="2571"/>
      <c r="O196" s="2145"/>
      <c r="P196" s="1793"/>
      <c r="Q196" s="1304"/>
      <c r="R196" s="1304"/>
      <c r="S196" s="1860"/>
      <c r="T196" s="1860"/>
      <c r="U196" s="1860"/>
      <c r="V196" s="1860"/>
      <c r="W196" s="1305"/>
    </row>
    <row customHeight="1" ht="17.25">
      <c r="A197" s="1847"/>
      <c r="B197" s="1848"/>
      <c r="C197" s="1852"/>
      <c r="D197" s="2560"/>
      <c r="E197" s="2186"/>
      <c r="F197" s="2186"/>
      <c r="G197" s="2134"/>
      <c r="H197" s="2562"/>
      <c r="I197" s="2575"/>
      <c r="J197" s="2563"/>
      <c r="K197" s="2145"/>
      <c r="L197" s="1304"/>
      <c r="M197" s="1304"/>
      <c r="N197" s="1304"/>
      <c r="O197" s="1304"/>
      <c r="P197" s="1304"/>
      <c r="Q197" s="1304"/>
      <c r="R197" s="1304"/>
      <c r="S197" s="1860"/>
      <c r="T197" s="1860"/>
      <c r="U197" s="1860"/>
      <c r="V197" s="1860"/>
      <c r="W197" s="1305"/>
    </row>
    <row customHeight="1" ht="17.25">
      <c r="A198" s="1847"/>
      <c r="B198" s="1848"/>
      <c r="C198" s="1852"/>
      <c r="D198" s="2560"/>
      <c r="E198" s="2186"/>
      <c r="F198" s="2186"/>
      <c r="G198" s="2134"/>
      <c r="H198" s="1306"/>
      <c r="I198" s="1307"/>
      <c r="J198" s="1307"/>
      <c r="K198" s="1307"/>
      <c r="L198" s="1307"/>
      <c r="M198" s="1307"/>
      <c r="N198" s="1307"/>
      <c r="O198" s="1307"/>
      <c r="P198" s="1307"/>
      <c r="Q198" s="1307"/>
      <c r="R198" s="1307"/>
      <c r="S198" s="1861"/>
      <c r="T198" s="1861"/>
      <c r="U198" s="1861"/>
      <c r="V198" s="1861"/>
      <c r="W198" s="1309"/>
    </row>
    <row r="200" s="1822" customFormat="1" customHeight="1" ht="17.25">
      <c r="A200" s="1822" t="s">
        <v>2092</v>
      </c>
    </row>
    <row customHeight="1" ht="17.25">
      <c r="G201" s="1846"/>
      <c r="H201" s="1846"/>
      <c r="I201" s="1846"/>
      <c r="M201" s="1842"/>
    </row>
    <row s="1857" customFormat="1" customHeight="1" ht="15">
      <c r="D202" s="2530"/>
      <c r="E202" s="2206"/>
      <c r="F202" s="2206"/>
      <c r="G202" s="2192"/>
      <c r="H202" s="1571"/>
      <c r="I202" s="2534">
        <v>1</v>
      </c>
      <c r="J202" s="2508"/>
      <c r="K202" s="1586"/>
      <c r="L202" s="2192" t="s">
        <v>66</v>
      </c>
      <c r="M202" s="2192" t="s">
        <v>66</v>
      </c>
      <c r="N202" s="1571"/>
      <c r="O202" s="2115" t="s">
        <v>108</v>
      </c>
      <c r="P202" s="2524"/>
      <c r="Q202" s="1587"/>
      <c r="R202" s="2192" t="s">
        <v>66</v>
      </c>
      <c r="S202" s="2192" t="s">
        <v>66</v>
      </c>
      <c r="T202" s="1862"/>
      <c r="U202" s="2115" t="s">
        <v>108</v>
      </c>
      <c r="V202" s="2531" t="str">
        <f>IF(AK202="","",INDEX(TERRITORY_MR_LIST,MATCH(AK202,TERRITORY_LIST_ID,0)))</f>
        <v/>
      </c>
      <c r="W202" s="1588"/>
      <c r="X202" s="2192" t="s">
        <v>66</v>
      </c>
      <c r="Y202" s="2192" t="s">
        <v>19</v>
      </c>
      <c r="Z202" s="1571"/>
      <c r="AA202" s="2115" t="s">
        <v>108</v>
      </c>
      <c r="AB202" s="2533"/>
      <c r="AC202" s="1589"/>
      <c r="AD202" s="2192" t="s">
        <v>66</v>
      </c>
      <c r="AE202" s="2192" t="s">
        <v>19</v>
      </c>
      <c r="AF202" s="1569"/>
      <c r="AG202" s="1818" t="s">
        <v>108</v>
      </c>
      <c r="AH202" s="1579"/>
      <c r="AI202" s="1808"/>
    </row>
    <row s="1857" customFormat="1" customHeight="1" ht="15">
      <c r="D203" s="2530"/>
      <c r="E203" s="2206"/>
      <c r="F203" s="2206"/>
      <c r="G203" s="2193"/>
      <c r="H203" s="1571"/>
      <c r="I203" s="2534"/>
      <c r="J203" s="2508"/>
      <c r="K203" s="1570"/>
      <c r="L203" s="2193"/>
      <c r="M203" s="2193"/>
      <c r="N203" s="1571"/>
      <c r="O203" s="2115"/>
      <c r="P203" s="2524"/>
      <c r="Q203" s="1567"/>
      <c r="R203" s="2193"/>
      <c r="S203" s="2193"/>
      <c r="T203" s="1862"/>
      <c r="U203" s="2115"/>
      <c r="V203" s="2532"/>
      <c r="W203" s="1568"/>
      <c r="X203" s="2193"/>
      <c r="Y203" s="2193"/>
      <c r="Z203" s="1571"/>
      <c r="AA203" s="2115"/>
      <c r="AB203" s="2502"/>
      <c r="AC203" s="1572"/>
      <c r="AD203" s="2119"/>
      <c r="AE203" s="2119"/>
      <c r="AF203" s="1573"/>
      <c r="AG203" s="1574"/>
      <c r="AH203" s="2525" t="s">
        <v>2093</v>
      </c>
      <c r="AI203" s="2526"/>
    </row>
    <row s="1857" customFormat="1" customHeight="1" ht="15">
      <c r="D204" s="2530"/>
      <c r="E204" s="2206"/>
      <c r="F204" s="2206"/>
      <c r="G204" s="2193"/>
      <c r="H204" s="1571"/>
      <c r="I204" s="2534"/>
      <c r="J204" s="2508"/>
      <c r="K204" s="1570"/>
      <c r="L204" s="2193"/>
      <c r="M204" s="2193"/>
      <c r="N204" s="1571"/>
      <c r="O204" s="2115"/>
      <c r="P204" s="2524"/>
      <c r="Q204" s="1567"/>
      <c r="R204" s="2193"/>
      <c r="S204" s="2193"/>
      <c r="T204" s="1862"/>
      <c r="U204" s="2115"/>
      <c r="V204" s="2532"/>
      <c r="W204" s="1568"/>
      <c r="X204" s="2193"/>
      <c r="Y204" s="2193"/>
      <c r="Z204" s="1610"/>
      <c r="AA204" s="1576"/>
      <c r="AB204" s="2527" t="s">
        <v>2094</v>
      </c>
      <c r="AC204" s="2527"/>
      <c r="AD204" s="2527"/>
      <c r="AE204" s="2527"/>
      <c r="AF204" s="2527"/>
      <c r="AG204" s="2527"/>
      <c r="AH204" s="2527"/>
      <c r="AI204" s="2528"/>
    </row>
    <row s="1857" customFormat="1" customHeight="1" ht="15">
      <c r="D205" s="2530"/>
      <c r="E205" s="2206"/>
      <c r="F205" s="2206"/>
      <c r="G205" s="2193"/>
      <c r="H205" s="1571"/>
      <c r="I205" s="2534"/>
      <c r="J205" s="2508"/>
      <c r="K205" s="1570"/>
      <c r="L205" s="2193"/>
      <c r="M205" s="2193"/>
      <c r="N205" s="1571"/>
      <c r="O205" s="2115"/>
      <c r="P205" s="2529"/>
      <c r="Q205" s="1567"/>
      <c r="R205" s="2193"/>
      <c r="S205" s="2193"/>
      <c r="T205" s="1863"/>
      <c r="U205" s="1611"/>
      <c r="V205" s="2525" t="s">
        <v>199</v>
      </c>
      <c r="W205" s="2525"/>
      <c r="X205" s="2525"/>
      <c r="Y205" s="2525"/>
      <c r="Z205" s="2525"/>
      <c r="AA205" s="2525"/>
      <c r="AB205" s="2525"/>
      <c r="AC205" s="2525"/>
      <c r="AD205" s="2525"/>
      <c r="AE205" s="2525"/>
      <c r="AF205" s="2525"/>
      <c r="AG205" s="2525"/>
      <c r="AH205" s="2525"/>
      <c r="AI205" s="2526"/>
    </row>
    <row s="1857" customFormat="1" customHeight="1" ht="11.25">
      <c r="D206" s="2530"/>
      <c r="E206" s="2206"/>
      <c r="F206" s="2206"/>
      <c r="G206" s="2193"/>
      <c r="H206" s="1575"/>
      <c r="I206" s="2534"/>
      <c r="J206" s="2535"/>
      <c r="K206" s="1570"/>
      <c r="L206" s="2193"/>
      <c r="M206" s="2193"/>
      <c r="N206" s="1575"/>
      <c r="O206" s="1576"/>
      <c r="P206" s="2525" t="s">
        <v>2095</v>
      </c>
      <c r="Q206" s="2525"/>
      <c r="R206" s="2525"/>
      <c r="S206" s="2525"/>
      <c r="T206" s="2525"/>
      <c r="U206" s="2525"/>
      <c r="V206" s="2525"/>
      <c r="W206" s="2525"/>
      <c r="X206" s="2525"/>
      <c r="Y206" s="2525"/>
      <c r="Z206" s="2525"/>
      <c r="AA206" s="2525"/>
      <c r="AB206" s="2525"/>
      <c r="AC206" s="2525"/>
      <c r="AD206" s="2525"/>
      <c r="AE206" s="2525"/>
      <c r="AF206" s="2525"/>
      <c r="AG206" s="2525"/>
      <c r="AH206" s="2525"/>
      <c r="AI206" s="2526"/>
    </row>
    <row s="1561" customFormat="1" customHeight="1" ht="11.25">
      <c r="D207" s="2530"/>
      <c r="E207" s="2206"/>
      <c r="F207" s="2206"/>
      <c r="G207" s="2119"/>
      <c r="H207" s="1577"/>
      <c r="I207" s="1578"/>
      <c r="J207" s="2525" t="s">
        <v>391</v>
      </c>
      <c r="K207" s="2525"/>
      <c r="L207" s="2525"/>
      <c r="M207" s="2525"/>
      <c r="N207" s="2525"/>
      <c r="O207" s="2525"/>
      <c r="P207" s="2525"/>
      <c r="Q207" s="2525"/>
      <c r="R207" s="2525"/>
      <c r="S207" s="2525"/>
      <c r="T207" s="2525"/>
      <c r="U207" s="2525"/>
      <c r="V207" s="2525"/>
      <c r="W207" s="2525"/>
      <c r="X207" s="2525"/>
      <c r="Y207" s="2525"/>
      <c r="Z207" s="2525"/>
      <c r="AA207" s="2525"/>
      <c r="AB207" s="2525"/>
      <c r="AC207" s="2525"/>
      <c r="AD207" s="2525"/>
      <c r="AE207" s="2525"/>
      <c r="AF207" s="2525"/>
      <c r="AG207" s="2525"/>
      <c r="AH207" s="2525"/>
      <c r="AI207" s="2526"/>
      <c r="BK207" s="1581"/>
    </row>
    <row customHeight="1" ht="17.25">
      <c r="G208" s="1846"/>
      <c r="I208" s="1846"/>
      <c r="J208" s="1846"/>
      <c r="N208" s="1842"/>
    </row>
    <row s="1857" customFormat="1" customHeight="1" ht="15">
      <c r="D209" s="2530"/>
      <c r="E209" s="2206"/>
      <c r="F209" s="2206"/>
      <c r="G209" s="2186"/>
      <c r="H209" s="1606"/>
      <c r="I209" s="2188"/>
      <c r="J209" s="2159"/>
      <c r="K209" s="1792"/>
      <c r="L209" s="2144"/>
      <c r="M209" s="2144"/>
      <c r="N209" s="1591"/>
      <c r="O209" s="2144"/>
      <c r="P209" s="2159"/>
      <c r="Q209" s="1796"/>
      <c r="R209" s="2144"/>
      <c r="S209" s="2144"/>
      <c r="T209" s="1864"/>
      <c r="U209" s="2144"/>
      <c r="V209" s="2159"/>
      <c r="W209" s="1594"/>
      <c r="X209" s="2144"/>
      <c r="Y209" s="2144"/>
      <c r="Z209" s="1591"/>
      <c r="AA209" s="2144"/>
      <c r="AB209" s="2159"/>
      <c r="AC209" s="1595"/>
      <c r="AD209" s="2144"/>
      <c r="AE209" s="2144"/>
      <c r="AF209" s="1790"/>
      <c r="AG209" s="1790"/>
      <c r="AH209" s="1596"/>
      <c r="AI209" s="1303"/>
    </row>
    <row s="1857" customFormat="1" customHeight="1" ht="15">
      <c r="D210" s="2530"/>
      <c r="E210" s="2206"/>
      <c r="F210" s="2206"/>
      <c r="G210" s="2186"/>
      <c r="H210" s="1607"/>
      <c r="I210" s="2189"/>
      <c r="J210" s="2160"/>
      <c r="K210" s="1617"/>
      <c r="L210" s="2145"/>
      <c r="M210" s="2145"/>
      <c r="N210" s="1597"/>
      <c r="O210" s="2145"/>
      <c r="P210" s="2160"/>
      <c r="Q210" s="1797"/>
      <c r="R210" s="2145"/>
      <c r="S210" s="2145"/>
      <c r="T210" s="1865"/>
      <c r="U210" s="2145"/>
      <c r="V210" s="2160"/>
      <c r="W210" s="1600"/>
      <c r="X210" s="2145"/>
      <c r="Y210" s="2145"/>
      <c r="Z210" s="1597"/>
      <c r="AA210" s="2145"/>
      <c r="AB210" s="2160"/>
      <c r="AC210" s="1601"/>
      <c r="AD210" s="2145"/>
      <c r="AE210" s="2145"/>
      <c r="AF210" s="1795"/>
      <c r="AG210" s="1795"/>
      <c r="AH210" s="2184"/>
      <c r="AI210" s="2185"/>
    </row>
    <row s="1857" customFormat="1" customHeight="1" ht="15">
      <c r="D211" s="2530"/>
      <c r="E211" s="2206"/>
      <c r="F211" s="2206"/>
      <c r="G211" s="2186"/>
      <c r="H211" s="1607"/>
      <c r="I211" s="2189"/>
      <c r="J211" s="2160"/>
      <c r="K211" s="1617"/>
      <c r="L211" s="2145"/>
      <c r="M211" s="2145"/>
      <c r="N211" s="1597"/>
      <c r="O211" s="2145"/>
      <c r="P211" s="2160"/>
      <c r="Q211" s="1797"/>
      <c r="R211" s="2145"/>
      <c r="S211" s="2145"/>
      <c r="T211" s="1865"/>
      <c r="U211" s="2145"/>
      <c r="V211" s="2160"/>
      <c r="W211" s="1600"/>
      <c r="X211" s="2145"/>
      <c r="Y211" s="2145"/>
      <c r="Z211" s="1793"/>
      <c r="AA211" s="1795"/>
      <c r="AB211" s="2184"/>
      <c r="AC211" s="2184"/>
      <c r="AD211" s="2184"/>
      <c r="AE211" s="2184"/>
      <c r="AF211" s="2184"/>
      <c r="AG211" s="2184"/>
      <c r="AH211" s="2184"/>
      <c r="AI211" s="2185"/>
    </row>
    <row s="1857" customFormat="1" customHeight="1" ht="15">
      <c r="D212" s="2530"/>
      <c r="E212" s="2206"/>
      <c r="F212" s="2206"/>
      <c r="G212" s="2186"/>
      <c r="H212" s="1607"/>
      <c r="I212" s="2189"/>
      <c r="J212" s="2160"/>
      <c r="K212" s="1617"/>
      <c r="L212" s="2145"/>
      <c r="M212" s="2145"/>
      <c r="N212" s="1597"/>
      <c r="O212" s="2145"/>
      <c r="P212" s="2160"/>
      <c r="Q212" s="1797"/>
      <c r="R212" s="2145"/>
      <c r="S212" s="2145"/>
      <c r="T212" s="1866"/>
      <c r="U212" s="1604"/>
      <c r="V212" s="2184"/>
      <c r="W212" s="2184"/>
      <c r="X212" s="2184"/>
      <c r="Y212" s="2184"/>
      <c r="Z212" s="2184"/>
      <c r="AA212" s="2184"/>
      <c r="AB212" s="2184"/>
      <c r="AC212" s="2184"/>
      <c r="AD212" s="2184"/>
      <c r="AE212" s="2184"/>
      <c r="AF212" s="2184"/>
      <c r="AG212" s="2184"/>
      <c r="AH212" s="2184"/>
      <c r="AI212" s="2185"/>
    </row>
    <row s="1857" customFormat="1" customHeight="1" ht="11.25">
      <c r="D213" s="2530"/>
      <c r="E213" s="2206"/>
      <c r="F213" s="2206"/>
      <c r="G213" s="2186"/>
      <c r="H213" s="1608"/>
      <c r="I213" s="2189"/>
      <c r="J213" s="2160"/>
      <c r="K213" s="1617"/>
      <c r="L213" s="2145"/>
      <c r="M213" s="2145"/>
      <c r="N213" s="1795"/>
      <c r="O213" s="1795"/>
      <c r="P213" s="2184"/>
      <c r="Q213" s="2184"/>
      <c r="R213" s="2184"/>
      <c r="S213" s="2184"/>
      <c r="T213" s="2184"/>
      <c r="U213" s="2184"/>
      <c r="V213" s="2184"/>
      <c r="W213" s="2184"/>
      <c r="X213" s="2184"/>
      <c r="Y213" s="2184"/>
      <c r="Z213" s="2184"/>
      <c r="AA213" s="2184"/>
      <c r="AB213" s="2184"/>
      <c r="AC213" s="2184"/>
      <c r="AD213" s="2184"/>
      <c r="AE213" s="2184"/>
      <c r="AF213" s="2184"/>
      <c r="AG213" s="2184"/>
      <c r="AH213" s="2184"/>
      <c r="AI213" s="2185"/>
    </row>
    <row s="1561" customFormat="1" customHeight="1" ht="11.25">
      <c r="D214" s="2530"/>
      <c r="E214" s="2206"/>
      <c r="F214" s="2206"/>
      <c r="G214" s="2191"/>
      <c r="H214" s="1605"/>
      <c r="I214" s="1609"/>
      <c r="J214" s="2194"/>
      <c r="K214" s="2194"/>
      <c r="L214" s="2194"/>
      <c r="M214" s="2194"/>
      <c r="N214" s="2194"/>
      <c r="O214" s="2194"/>
      <c r="P214" s="2194"/>
      <c r="Q214" s="2194"/>
      <c r="R214" s="2194"/>
      <c r="S214" s="2194"/>
      <c r="T214" s="2194"/>
      <c r="U214" s="2194"/>
      <c r="V214" s="2194"/>
      <c r="W214" s="2194"/>
      <c r="X214" s="2194"/>
      <c r="Y214" s="2194"/>
      <c r="Z214" s="2194"/>
      <c r="AA214" s="2194"/>
      <c r="AB214" s="2194"/>
      <c r="AC214" s="2194"/>
      <c r="AD214" s="2194"/>
      <c r="AE214" s="2194"/>
      <c r="AF214" s="2194"/>
      <c r="AG214" s="2194"/>
      <c r="AH214" s="2194"/>
      <c r="AI214" s="2195"/>
      <c r="BK214" s="1581"/>
    </row>
    <row customHeight="1" ht="17.25">
      <c r="A215" s="1857"/>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36862E-B03D-F103-244A-087F86B9901E}"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7" width="43.140625"/>
    <col min="2" max="2" style="847" width="43.140625" hidden="1"/>
    <col min="3" max="3" style="847" width="43.140625"/>
    <col min="4" max="5" style="847" width="36.421875" customWidth="1"/>
    <col min="6" max="8" style="988" width="36.421875" customWidth="1"/>
  </cols>
  <sheetData>
    <row customHeight="1" ht="9">
      <c r="A1" s="853" t="s">
        <v>2096</v>
      </c>
      <c r="B1" s="853"/>
      <c r="C1" s="989" t="s">
        <v>2097</v>
      </c>
      <c r="D1" s="987" t="s">
        <v>969</v>
      </c>
      <c r="E1" s="987" t="s">
        <v>1015</v>
      </c>
      <c r="F1" s="987" t="s">
        <v>1068</v>
      </c>
      <c r="G1" s="987" t="s">
        <v>1055</v>
      </c>
      <c r="H1" s="987" t="s">
        <v>1772</v>
      </c>
    </row>
    <row customHeight="1" ht="9">
      <c r="A2" s="990" t="s">
        <v>2098</v>
      </c>
      <c r="B2" s="990"/>
      <c r="C2" s="991" t="str">
        <f>INDEX(TEMPLATE_NUMBER_FORM_LIST,MATCH(TEMPLATE_SPHERE,TEMPLATE_SPHERE_LIST,0))</f>
        <v>10</v>
      </c>
      <c r="D2" s="990" t="s">
        <v>172</v>
      </c>
      <c r="E2" s="990" t="s">
        <v>142</v>
      </c>
      <c r="F2" s="992" t="s">
        <v>142</v>
      </c>
      <c r="G2" s="990" t="s">
        <v>142</v>
      </c>
      <c r="H2" s="993"/>
    </row>
    <row customHeight="1" ht="63">
      <c r="A3" s="853"/>
      <c r="B3" s="853" t="s">
        <v>108</v>
      </c>
      <c r="C3" s="991"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91" t="s">
        <v>2099</v>
      </c>
      <c r="E3" s="991"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92"/>
      <c r="G3" s="993"/>
      <c r="H3" s="853"/>
    </row>
    <row customHeight="1" ht="243">
      <c r="A4" s="853" t="s">
        <v>2100</v>
      </c>
      <c r="B4" s="853" t="s">
        <v>99</v>
      </c>
      <c r="C4" s="991" t="str">
        <f>IF(TEMPLATE_SPHERE="HEAT",D4,IF(TEMPLATE_SPHERE="TKO",H4,E4))</f>
        <v>Форма 1. Информация об организации, осуществляющей холодное водоснабжение (общая информация)</v>
      </c>
      <c r="D4" s="990" t="s">
        <v>2101</v>
      </c>
      <c r="E4" s="991"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90"/>
      <c r="G4" s="990"/>
      <c r="H4" s="853" t="s">
        <v>2102</v>
      </c>
    </row>
    <row customHeight="1" ht="117">
      <c r="A5" s="853" t="s">
        <v>2103</v>
      </c>
      <c r="B5" s="853" t="s">
        <v>90</v>
      </c>
      <c r="C5" s="991"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53" t="s">
        <v>2104</v>
      </c>
      <c r="E5" s="856"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93"/>
      <c r="G5" s="993"/>
      <c r="H5" s="853" t="s">
        <v>2105</v>
      </c>
    </row>
    <row customHeight="1" ht="90">
      <c r="A6" s="853" t="s">
        <v>2106</v>
      </c>
      <c r="B6" s="853" t="s">
        <v>91</v>
      </c>
      <c r="C6" s="991"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6"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6"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53"/>
      <c r="G6" s="853"/>
      <c r="H6" s="993"/>
    </row>
    <row customHeight="1" ht="45">
      <c r="A7" s="853" t="s">
        <v>2107</v>
      </c>
      <c r="B7" s="853" t="s">
        <v>119</v>
      </c>
      <c r="C7" s="991"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53" t="s">
        <v>2108</v>
      </c>
      <c r="E7" s="853" t="s">
        <v>2109</v>
      </c>
      <c r="F7" s="993"/>
      <c r="G7" s="993"/>
      <c r="H7" s="993"/>
    </row>
    <row customHeight="1" ht="108">
      <c r="A8" s="853" t="s">
        <v>2110</v>
      </c>
      <c r="B8" s="853" t="s">
        <v>92</v>
      </c>
      <c r="C8" s="991"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53" t="s">
        <v>1320</v>
      </c>
      <c r="E8" s="853" t="s">
        <v>2111</v>
      </c>
      <c r="F8" s="993"/>
      <c r="G8" s="993"/>
      <c r="H8" s="993"/>
    </row>
    <row customHeight="1" ht="99">
      <c r="A9" s="853" t="s">
        <v>2112</v>
      </c>
      <c r="B9" s="853"/>
      <c r="C9" s="853" t="s">
        <v>2113</v>
      </c>
      <c r="D9" s="853"/>
      <c r="E9" s="853"/>
      <c r="F9" s="993"/>
      <c r="G9" s="993"/>
      <c r="H9" s="993"/>
    </row>
    <row customHeight="1" ht="126">
      <c r="A10" s="853" t="s">
        <v>2114</v>
      </c>
      <c r="B10" s="853"/>
      <c r="C10" s="853" t="s">
        <v>2115</v>
      </c>
      <c r="D10" s="853"/>
      <c r="E10" s="853"/>
      <c r="F10" s="993"/>
      <c r="G10" s="993"/>
      <c r="H10" s="993"/>
    </row>
    <row customHeight="1" ht="108">
      <c r="A11" s="853" t="s">
        <v>2116</v>
      </c>
      <c r="B11" s="853"/>
      <c r="C11" s="853" t="s">
        <v>2117</v>
      </c>
      <c r="D11" s="853"/>
      <c r="E11" s="853"/>
      <c r="F11" s="993"/>
      <c r="G11" s="993"/>
      <c r="H11" s="993"/>
    </row>
    <row customHeight="1" ht="54">
      <c r="A12" s="853" t="s">
        <v>2118</v>
      </c>
      <c r="B12" s="853"/>
      <c r="C12" s="853" t="s">
        <v>2119</v>
      </c>
      <c r="D12" s="853"/>
      <c r="E12" s="853"/>
      <c r="F12" s="993"/>
      <c r="G12" s="993"/>
      <c r="H12" s="993"/>
    </row>
    <row customHeight="1" ht="45">
      <c r="A13" s="853" t="s">
        <v>2120</v>
      </c>
      <c r="B13" s="853"/>
      <c r="C13" s="853" t="s">
        <v>2121</v>
      </c>
      <c r="D13" s="853"/>
      <c r="E13" s="853"/>
      <c r="F13" s="993"/>
      <c r="G13" s="993"/>
      <c r="H13" s="993"/>
    </row>
    <row customHeight="1" ht="117">
      <c r="A14" s="853" t="s">
        <v>2122</v>
      </c>
      <c r="B14" s="853"/>
      <c r="C14" s="853" t="s">
        <v>2123</v>
      </c>
      <c r="D14" s="853"/>
      <c r="E14" s="853"/>
      <c r="F14" s="993"/>
      <c r="G14" s="993"/>
      <c r="H14" s="993"/>
    </row>
    <row customHeight="1" ht="117">
      <c r="A15" s="853" t="s">
        <v>2124</v>
      </c>
      <c r="B15" s="853"/>
      <c r="C15" s="853" t="s">
        <v>2125</v>
      </c>
      <c r="D15" s="853"/>
      <c r="E15" s="853"/>
      <c r="F15" s="993"/>
      <c r="G15" s="993"/>
      <c r="H15" s="993"/>
    </row>
    <row customHeight="1" ht="63">
      <c r="A16" s="853" t="s">
        <v>2126</v>
      </c>
      <c r="B16" s="853"/>
      <c r="C16" s="853" t="s">
        <v>2127</v>
      </c>
      <c r="D16" s="853"/>
      <c r="E16" s="853"/>
      <c r="F16" s="993"/>
      <c r="G16" s="993"/>
      <c r="H16" s="993"/>
    </row>
    <row customHeight="1" ht="54">
      <c r="A17" s="853" t="s">
        <v>2128</v>
      </c>
      <c r="B17" s="853"/>
      <c r="C17" s="991" t="s">
        <v>2129</v>
      </c>
      <c r="D17" s="853"/>
      <c r="E17" s="853"/>
      <c r="F17" s="993"/>
      <c r="G17" s="993"/>
      <c r="H17" s="993"/>
    </row>
    <row customHeight="1" ht="27">
      <c r="A18" s="853" t="s">
        <v>2130</v>
      </c>
      <c r="B18" s="853"/>
      <c r="C18" s="991" t="s">
        <v>2131</v>
      </c>
      <c r="D18" s="853"/>
      <c r="E18" s="853"/>
      <c r="F18" s="993"/>
      <c r="G18" s="993"/>
      <c r="H18" s="993"/>
    </row>
    <row customHeight="1" ht="54">
      <c r="A19" s="853" t="s">
        <v>2132</v>
      </c>
      <c r="B19" s="853"/>
      <c r="C19" s="991" t="s">
        <v>2133</v>
      </c>
      <c r="D19" s="853"/>
      <c r="E19" s="853"/>
      <c r="F19" s="993"/>
      <c r="G19" s="993"/>
      <c r="H19" s="993"/>
    </row>
    <row customHeight="1" ht="36">
      <c r="A20" s="853" t="s">
        <v>2134</v>
      </c>
      <c r="B20" s="853"/>
      <c r="C20" s="991" t="s">
        <v>2135</v>
      </c>
      <c r="D20" s="853"/>
      <c r="E20" s="853"/>
      <c r="F20" s="993"/>
      <c r="G20" s="993"/>
      <c r="H20" s="993"/>
    </row>
    <row customHeight="1" ht="36">
      <c r="A21" s="853" t="s">
        <v>2136</v>
      </c>
      <c r="B21" s="853"/>
      <c r="C21" s="991" t="s">
        <v>2137</v>
      </c>
      <c r="D21" s="853"/>
      <c r="E21" s="853"/>
      <c r="F21" s="993"/>
      <c r="G21" s="993"/>
      <c r="H21" s="993"/>
    </row>
    <row customHeight="1" ht="27">
      <c r="A22" s="853" t="s">
        <v>2138</v>
      </c>
      <c r="B22" s="853"/>
      <c r="C22" s="991" t="s">
        <v>2139</v>
      </c>
      <c r="D22" s="853"/>
      <c r="E22" s="853"/>
      <c r="F22" s="993"/>
      <c r="G22" s="993"/>
      <c r="H22" s="993"/>
    </row>
    <row customHeight="1" ht="36">
      <c r="A23" s="853" t="s">
        <v>2140</v>
      </c>
      <c r="B23" s="853"/>
      <c r="C23" s="991" t="s">
        <v>2141</v>
      </c>
      <c r="D23" s="853"/>
      <c r="E23" s="853"/>
      <c r="F23" s="993"/>
      <c r="G23" s="993"/>
      <c r="H23" s="993"/>
    </row>
    <row customHeight="1" ht="28.5">
      <c r="A24" s="853" t="s">
        <v>2142</v>
      </c>
      <c r="B24" s="853"/>
      <c r="C24" s="991" t="s">
        <v>2143</v>
      </c>
      <c r="D24" s="853"/>
      <c r="E24" s="853"/>
      <c r="F24" s="993"/>
      <c r="G24" s="993"/>
      <c r="H24" s="993"/>
    </row>
    <row customHeight="1" ht="36">
      <c r="A25" s="853" t="s">
        <v>2144</v>
      </c>
      <c r="B25" s="853"/>
      <c r="C25" s="991" t="s">
        <v>2145</v>
      </c>
      <c r="D25" s="853"/>
      <c r="E25" s="853"/>
      <c r="F25" s="993"/>
      <c r="G25" s="993"/>
      <c r="H25" s="993"/>
    </row>
    <row customHeight="1" ht="27">
      <c r="A26" s="853" t="s">
        <v>2146</v>
      </c>
      <c r="B26" s="853"/>
      <c r="C26" s="991" t="s">
        <v>2147</v>
      </c>
      <c r="D26" s="853"/>
      <c r="E26" s="853"/>
      <c r="F26" s="993"/>
      <c r="G26" s="993"/>
      <c r="H26" s="993"/>
    </row>
    <row customHeight="1" ht="36">
      <c r="A27" s="853" t="s">
        <v>2148</v>
      </c>
      <c r="B27" s="853"/>
      <c r="C27" s="991" t="s">
        <v>2149</v>
      </c>
      <c r="D27" s="853"/>
      <c r="E27" s="853"/>
      <c r="F27" s="993"/>
      <c r="G27" s="993"/>
      <c r="H27" s="993"/>
    </row>
    <row customHeight="1" ht="28.5">
      <c r="A28" s="853" t="s">
        <v>2150</v>
      </c>
      <c r="B28" s="853"/>
      <c r="C28" s="991" t="s">
        <v>2151</v>
      </c>
      <c r="D28" s="853"/>
      <c r="E28" s="853"/>
      <c r="F28" s="993"/>
      <c r="G28" s="993"/>
      <c r="H28" s="993"/>
    </row>
    <row customHeight="1" ht="126">
      <c r="A29" s="853" t="s">
        <v>2152</v>
      </c>
      <c r="B29" s="853" t="s">
        <v>1725</v>
      </c>
      <c r="C29" s="991"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53" t="s">
        <v>2153</v>
      </c>
      <c r="E29" s="856"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93"/>
      <c r="G29" s="993"/>
      <c r="H29" s="853" t="s">
        <v>2154</v>
      </c>
    </row>
    <row customHeight="1" ht="36">
      <c r="A30" s="853" t="s">
        <v>2155</v>
      </c>
      <c r="B30" s="853"/>
      <c r="C30" s="991"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53" t="s">
        <v>2156</v>
      </c>
      <c r="E30" s="856"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93"/>
      <c r="G30" s="993"/>
      <c r="H30" s="993"/>
    </row>
    <row customHeight="1" ht="54">
      <c r="A31" s="853" t="s">
        <v>2157</v>
      </c>
      <c r="B31" s="853"/>
      <c r="C31" s="991" t="str">
        <f>IF(TEMPLATE_SPHERE="HEAT",D31,IF(TEMPLATE_SPHERE="TKO",H31,E31))</f>
        <v>Форма 1. Информация об организации, осуществляющей холодное водоснабжение (общая информация)</v>
      </c>
      <c r="D31" s="853" t="s">
        <v>2158</v>
      </c>
      <c r="E31" s="856"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93"/>
      <c r="G31" s="993"/>
      <c r="H31" s="993"/>
    </row>
    <row customHeight="1" ht="198">
      <c r="A32" s="853" t="s">
        <v>2159</v>
      </c>
      <c r="B32" s="853"/>
      <c r="C32" s="991" t="str">
        <f>IF(TEMPLATE_SPHERE="HEAT",D32,IF(TEMPLATE_SPHERE="TKO",H32,E32))</f>
        <v>Форма 7. Информация об инвестиционных программах организации холодного водоснабжения и отчетах об их исполнении</v>
      </c>
      <c r="D32" s="853" t="s">
        <v>2160</v>
      </c>
      <c r="E32" s="856"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93"/>
      <c r="G32" s="993"/>
      <c r="H32" s="853" t="s">
        <v>2161</v>
      </c>
    </row>
    <row customHeight="1" ht="9">
      <c r="A33" s="853"/>
      <c r="B33" s="853"/>
      <c r="C33" s="991"/>
      <c r="D33" s="853"/>
      <c r="E33" s="853"/>
      <c r="F33" s="993"/>
      <c r="G33" s="993"/>
      <c r="H33" s="993"/>
    </row>
    <row customHeight="1" ht="9">
      <c r="A34" s="853"/>
      <c r="B34" s="853" t="s">
        <v>184</v>
      </c>
      <c r="C34" s="991">
        <f>INDEX(TEMPLATE_NAME_FORM_LIST,B34,MATCH(TEMPLATE_SPHERE,TEMPLATE_SPHERE_LIST,0))</f>
        <v>0</v>
      </c>
      <c r="D34" s="853"/>
      <c r="E34" s="853"/>
      <c r="F34" s="993"/>
      <c r="G34" s="993"/>
      <c r="H34" s="993"/>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17E24DF-DC1A-C9E5-9494-7EF870FE929D}"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7" width="9.140625"/>
    <col min="3" max="7" style="849" width="8.00390625" customWidth="1"/>
    <col min="8" max="12" style="849" width="8.57421875" customWidth="1"/>
    <col min="13" max="14" style="849" width="27.7109375" customWidth="1"/>
    <col min="15" max="19" style="849" width="5.140625" customWidth="1"/>
    <col min="20" max="24" style="849" width="27.7109375" customWidth="1"/>
    <col min="25" max="25" style="1008" width="1.8515625" customWidth="1"/>
    <col min="26" max="26" style="847" width="27.7109375" customWidth="1"/>
    <col min="27" max="27" style="858" width="27.7109375" customWidth="1"/>
    <col min="28" max="29" style="847" width="27.7109375" customWidth="1"/>
    <col min="30" max="30" style="847" width="3.8515625" customWidth="1"/>
    <col min="31" max="34" style="847" width="9.140625"/>
  </cols>
  <sheetData>
    <row s="846" customFormat="1" customHeight="1" ht="18">
      <c r="A1" s="905"/>
      <c r="B1" s="905"/>
      <c r="C1" s="905" t="s">
        <v>2162</v>
      </c>
      <c r="D1" s="905"/>
      <c r="E1" s="905"/>
      <c r="F1" s="905"/>
      <c r="G1" s="905"/>
      <c r="H1" s="905" t="s">
        <v>2163</v>
      </c>
      <c r="I1" s="905"/>
      <c r="J1" s="905"/>
      <c r="K1" s="905"/>
      <c r="L1" s="905"/>
      <c r="M1" s="905" t="s">
        <v>2164</v>
      </c>
      <c r="N1" s="905" t="s">
        <v>2165</v>
      </c>
      <c r="O1" s="2599" t="s">
        <v>2166</v>
      </c>
      <c r="P1" s="2599"/>
      <c r="Q1" s="2599"/>
      <c r="R1" s="2599"/>
      <c r="S1" s="2599"/>
      <c r="T1" s="2599" t="s">
        <v>2164</v>
      </c>
      <c r="U1" s="2599"/>
      <c r="V1" s="2599"/>
      <c r="W1" s="2599"/>
      <c r="X1" s="2599"/>
      <c r="Y1" s="1006"/>
      <c r="Z1" s="2599" t="s">
        <v>2167</v>
      </c>
      <c r="AA1" s="2599"/>
      <c r="AB1" s="2599"/>
      <c r="AC1" s="2599"/>
      <c r="AD1" s="2599"/>
    </row>
    <row customHeight="1" ht="18">
      <c r="A2" s="853"/>
      <c r="B2" s="853"/>
      <c r="C2" s="848" t="s">
        <v>969</v>
      </c>
      <c r="D2" s="848" t="s">
        <v>1015</v>
      </c>
      <c r="E2" s="848" t="s">
        <v>1068</v>
      </c>
      <c r="F2" s="848" t="s">
        <v>1055</v>
      </c>
      <c r="G2" s="848" t="s">
        <v>1772</v>
      </c>
      <c r="H2" s="850"/>
      <c r="I2" s="850"/>
      <c r="J2" s="850"/>
      <c r="K2" s="850"/>
      <c r="L2" s="850"/>
      <c r="M2" s="850"/>
      <c r="N2" s="850"/>
      <c r="O2" s="848" t="s">
        <v>969</v>
      </c>
      <c r="P2" s="848" t="s">
        <v>1015</v>
      </c>
      <c r="Q2" s="848" t="s">
        <v>1055</v>
      </c>
      <c r="R2" s="848" t="s">
        <v>1068</v>
      </c>
      <c r="S2" s="848" t="s">
        <v>1772</v>
      </c>
      <c r="T2" s="848" t="s">
        <v>969</v>
      </c>
      <c r="U2" s="848" t="s">
        <v>1015</v>
      </c>
      <c r="V2" s="848" t="s">
        <v>1055</v>
      </c>
      <c r="W2" s="848" t="s">
        <v>1068</v>
      </c>
      <c r="X2" s="848" t="s">
        <v>1772</v>
      </c>
      <c r="Y2" s="848"/>
      <c r="Z2" s="848" t="s">
        <v>969</v>
      </c>
      <c r="AA2" s="857" t="s">
        <v>1015</v>
      </c>
      <c r="AB2" s="848" t="s">
        <v>1055</v>
      </c>
      <c r="AC2" s="848" t="s">
        <v>1068</v>
      </c>
      <c r="AD2" s="848" t="s">
        <v>1772</v>
      </c>
    </row>
    <row customHeight="1" ht="162">
      <c r="A3" s="852" t="s">
        <v>26</v>
      </c>
      <c r="B3" s="852"/>
      <c r="C3" s="2603" t="s">
        <v>2168</v>
      </c>
      <c r="D3" s="2604"/>
      <c r="E3" s="2604"/>
      <c r="F3" s="2605"/>
      <c r="G3" s="850"/>
      <c r="H3" s="850"/>
      <c r="I3" s="850"/>
      <c r="J3" s="850"/>
      <c r="K3" s="850"/>
      <c r="L3" s="850"/>
      <c r="M3" s="850"/>
      <c r="N3" s="851"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50"/>
      <c r="P3" s="850"/>
      <c r="Q3" s="850"/>
      <c r="R3" s="850"/>
      <c r="S3" s="850"/>
      <c r="T3" s="850"/>
      <c r="U3" s="850"/>
      <c r="V3" s="850"/>
      <c r="W3" s="850"/>
      <c r="X3" s="850"/>
      <c r="Y3" s="1007"/>
      <c r="Z3" s="853" t="s">
        <v>2169</v>
      </c>
      <c r="AA3" s="850" t="s">
        <v>2170</v>
      </c>
      <c r="AB3" s="853" t="s">
        <v>2171</v>
      </c>
      <c r="AC3" s="853" t="s">
        <v>2172</v>
      </c>
      <c r="AD3" s="853"/>
      <c r="AG3" s="853"/>
      <c r="AH3" s="853"/>
    </row>
    <row customHeight="1" ht="9">
      <c r="A4" s="852"/>
      <c r="B4" s="852"/>
      <c r="C4" s="850"/>
      <c r="D4" s="850"/>
      <c r="E4" s="850"/>
      <c r="F4" s="850"/>
      <c r="G4" s="850"/>
      <c r="H4" s="850"/>
      <c r="I4" s="850"/>
      <c r="J4" s="850"/>
      <c r="K4" s="850"/>
      <c r="L4" s="850"/>
      <c r="M4" s="850"/>
      <c r="N4" s="850"/>
      <c r="O4" s="850"/>
      <c r="P4" s="850"/>
      <c r="Q4" s="850"/>
      <c r="R4" s="850"/>
      <c r="S4" s="850"/>
      <c r="T4" s="850"/>
      <c r="U4" s="850"/>
      <c r="V4" s="850"/>
      <c r="W4" s="850"/>
      <c r="X4" s="850"/>
      <c r="Y4" s="1007"/>
      <c r="Z4" s="853"/>
      <c r="AA4" s="856"/>
      <c r="AB4" s="853"/>
      <c r="AC4" s="853"/>
      <c r="AD4" s="853"/>
    </row>
    <row customHeight="1" ht="9">
      <c r="A5" s="852"/>
      <c r="B5" s="852"/>
      <c r="C5" s="850"/>
      <c r="D5" s="850"/>
      <c r="E5" s="850"/>
      <c r="F5" s="850"/>
      <c r="G5" s="850"/>
      <c r="H5" s="850"/>
      <c r="I5" s="850"/>
      <c r="J5" s="850"/>
      <c r="K5" s="850"/>
      <c r="L5" s="850"/>
      <c r="M5" s="850"/>
      <c r="N5" s="850"/>
      <c r="O5" s="850"/>
      <c r="P5" s="850"/>
      <c r="Q5" s="850"/>
      <c r="R5" s="850"/>
      <c r="S5" s="850"/>
      <c r="T5" s="850"/>
      <c r="U5" s="850"/>
      <c r="V5" s="850"/>
      <c r="W5" s="850"/>
      <c r="X5" s="850"/>
      <c r="Y5" s="1007"/>
      <c r="Z5" s="853"/>
      <c r="AA5" s="856"/>
      <c r="AB5" s="853"/>
      <c r="AC5" s="853"/>
      <c r="AD5" s="853"/>
    </row>
    <row customHeight="1" ht="9">
      <c r="A6" s="852"/>
      <c r="B6" s="852"/>
      <c r="C6" s="850"/>
      <c r="D6" s="850"/>
      <c r="E6" s="850"/>
      <c r="F6" s="850"/>
      <c r="G6" s="850"/>
      <c r="H6" s="850"/>
      <c r="I6" s="850"/>
      <c r="J6" s="850"/>
      <c r="K6" s="850"/>
      <c r="L6" s="850"/>
      <c r="M6" s="850"/>
      <c r="N6" s="850"/>
      <c r="O6" s="850"/>
      <c r="P6" s="850"/>
      <c r="Q6" s="850"/>
      <c r="R6" s="850"/>
      <c r="S6" s="850"/>
      <c r="T6" s="850"/>
      <c r="U6" s="850"/>
      <c r="V6" s="850"/>
      <c r="W6" s="850"/>
      <c r="X6" s="850"/>
      <c r="Y6" s="1007"/>
      <c r="Z6" s="853"/>
      <c r="AA6" s="856"/>
      <c r="AB6" s="853"/>
      <c r="AC6" s="853"/>
      <c r="AD6" s="853"/>
    </row>
    <row customHeight="1" ht="9">
      <c r="A7" s="852"/>
      <c r="B7" s="852"/>
      <c r="C7" s="850"/>
      <c r="D7" s="850"/>
      <c r="E7" s="850"/>
      <c r="F7" s="850"/>
      <c r="G7" s="850"/>
      <c r="H7" s="850"/>
      <c r="I7" s="850"/>
      <c r="J7" s="850"/>
      <c r="K7" s="850"/>
      <c r="L7" s="850"/>
      <c r="M7" s="850"/>
      <c r="N7" s="850"/>
      <c r="O7" s="850"/>
      <c r="P7" s="850"/>
      <c r="Q7" s="850"/>
      <c r="R7" s="850"/>
      <c r="S7" s="850"/>
      <c r="T7" s="850"/>
      <c r="U7" s="850"/>
      <c r="V7" s="850"/>
      <c r="W7" s="850"/>
      <c r="X7" s="850"/>
      <c r="Y7" s="1007"/>
      <c r="Z7" s="853"/>
      <c r="AA7" s="856"/>
      <c r="AB7" s="853"/>
      <c r="AC7" s="853"/>
      <c r="AD7" s="853"/>
    </row>
    <row customHeight="1" ht="9">
      <c r="A8" s="852"/>
      <c r="B8" s="852"/>
      <c r="C8" s="850"/>
      <c r="D8" s="850"/>
      <c r="E8" s="850"/>
      <c r="F8" s="850"/>
      <c r="G8" s="850"/>
      <c r="H8" s="850"/>
      <c r="I8" s="850"/>
      <c r="J8" s="850"/>
      <c r="K8" s="850"/>
      <c r="L8" s="850"/>
      <c r="M8" s="850"/>
      <c r="N8" s="850"/>
      <c r="O8" s="850"/>
      <c r="P8" s="850"/>
      <c r="Q8" s="850"/>
      <c r="R8" s="850"/>
      <c r="S8" s="850"/>
      <c r="T8" s="850"/>
      <c r="U8" s="850"/>
      <c r="V8" s="850"/>
      <c r="W8" s="850"/>
      <c r="X8" s="850"/>
      <c r="Y8" s="1007"/>
      <c r="Z8" s="853"/>
      <c r="AA8" s="856"/>
      <c r="AB8" s="853"/>
      <c r="AC8" s="853"/>
      <c r="AD8" s="853"/>
    </row>
    <row customHeight="1" ht="9">
      <c r="A9" s="852"/>
      <c r="B9" s="852"/>
      <c r="C9" s="850"/>
      <c r="D9" s="850"/>
      <c r="E9" s="850"/>
      <c r="F9" s="850"/>
      <c r="G9" s="850"/>
      <c r="H9" s="850"/>
      <c r="I9" s="850"/>
      <c r="J9" s="850"/>
      <c r="K9" s="850"/>
      <c r="L9" s="850"/>
      <c r="M9" s="850"/>
      <c r="N9" s="850"/>
      <c r="O9" s="850"/>
      <c r="P9" s="850"/>
      <c r="Q9" s="850"/>
      <c r="R9" s="850"/>
      <c r="S9" s="850"/>
      <c r="T9" s="850"/>
      <c r="U9" s="850"/>
      <c r="V9" s="850"/>
      <c r="W9" s="850"/>
      <c r="X9" s="850"/>
      <c r="Y9" s="1007"/>
      <c r="Z9" s="853"/>
      <c r="AA9" s="856"/>
      <c r="AB9" s="853"/>
      <c r="AC9" s="853"/>
      <c r="AD9" s="853"/>
    </row>
    <row customHeight="1" ht="9">
      <c r="A10" s="906"/>
      <c r="B10" s="906"/>
      <c r="C10" s="906"/>
      <c r="D10" s="906"/>
      <c r="E10" s="906"/>
      <c r="F10" s="906"/>
      <c r="G10" s="906"/>
      <c r="H10" s="906"/>
      <c r="I10" s="906"/>
      <c r="J10" s="906"/>
      <c r="K10" s="906"/>
      <c r="L10" s="906"/>
      <c r="M10" s="906"/>
      <c r="N10" s="906"/>
      <c r="O10" s="906"/>
      <c r="P10" s="906"/>
      <c r="Q10" s="906"/>
      <c r="R10" s="906"/>
      <c r="S10" s="906"/>
      <c r="T10" s="906"/>
      <c r="U10" s="906"/>
      <c r="V10" s="906"/>
      <c r="W10" s="906"/>
      <c r="X10" s="906"/>
      <c r="Y10" s="906"/>
      <c r="Z10" s="906"/>
      <c r="AA10" s="906"/>
      <c r="AB10" s="906"/>
      <c r="AC10" s="906"/>
      <c r="AD10" s="906"/>
    </row>
    <row customHeight="1" ht="45">
      <c r="A11" s="2600" t="s">
        <v>33</v>
      </c>
      <c r="B11" s="906">
        <v>1</v>
      </c>
      <c r="C11" s="2606" t="s">
        <v>1712</v>
      </c>
      <c r="D11" s="2606" t="s">
        <v>1708</v>
      </c>
      <c r="E11" s="2606" t="s">
        <v>1804</v>
      </c>
      <c r="F11" s="2606" t="s">
        <v>2173</v>
      </c>
      <c r="G11" s="2606"/>
      <c r="H11" s="905" t="s">
        <v>2174</v>
      </c>
      <c r="I11" s="905"/>
      <c r="J11" s="905"/>
      <c r="K11" s="905"/>
      <c r="L11" s="905"/>
      <c r="M11" s="851" t="str">
        <f>IF(TEMPLATE_SPHERE="HEAT",T11,U11)</f>
        <v>Количество поданных заявлений </v>
      </c>
      <c r="N11" s="851"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50"/>
      <c r="P11" s="850"/>
      <c r="Q11" s="850"/>
      <c r="R11" s="850"/>
      <c r="S11" s="850"/>
      <c r="T11" s="850" t="s">
        <v>2175</v>
      </c>
      <c r="U11" s="850" t="s">
        <v>2176</v>
      </c>
      <c r="V11" s="850"/>
      <c r="W11" s="850"/>
      <c r="X11" s="850"/>
      <c r="Y11" s="1007"/>
      <c r="Z11" s="853" t="s">
        <v>2177</v>
      </c>
      <c r="AA11" s="856"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53"/>
      <c r="AC11" s="853"/>
      <c r="AD11" s="853"/>
    </row>
    <row customHeight="1" ht="45">
      <c r="A12" s="2600"/>
      <c r="B12" s="906">
        <v>2</v>
      </c>
      <c r="C12" s="2607"/>
      <c r="D12" s="2607"/>
      <c r="E12" s="2607"/>
      <c r="F12" s="2607"/>
      <c r="G12" s="2607"/>
      <c r="H12" s="905" t="s">
        <v>2178</v>
      </c>
      <c r="I12" s="905"/>
      <c r="J12" s="905"/>
      <c r="K12" s="905"/>
      <c r="L12" s="905"/>
      <c r="M12" s="851" t="str">
        <f>IF(TEMPLATE_SPHERE="HEAT",T12,U12)</f>
        <v>Количество исполненных заявлений </v>
      </c>
      <c r="N12" s="851"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50"/>
      <c r="P12" s="850"/>
      <c r="Q12" s="850"/>
      <c r="R12" s="850"/>
      <c r="S12" s="850"/>
      <c r="T12" s="850" t="s">
        <v>2179</v>
      </c>
      <c r="U12" s="850" t="s">
        <v>2180</v>
      </c>
      <c r="V12" s="850"/>
      <c r="W12" s="850"/>
      <c r="X12" s="850"/>
      <c r="Y12" s="1007"/>
      <c r="Z12" s="853" t="s">
        <v>2181</v>
      </c>
      <c r="AA12" s="856"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53"/>
      <c r="AC12" s="853"/>
      <c r="AD12" s="853"/>
    </row>
    <row customHeight="1" ht="72">
      <c r="A13" s="2600"/>
      <c r="B13" s="906">
        <v>3</v>
      </c>
      <c r="C13" s="2607"/>
      <c r="D13" s="2607"/>
      <c r="E13" s="2607"/>
      <c r="F13" s="2607"/>
      <c r="G13" s="2607"/>
      <c r="H13" s="2599" t="s">
        <v>2182</v>
      </c>
      <c r="I13" s="905"/>
      <c r="J13" s="905"/>
      <c r="K13" s="905"/>
      <c r="L13" s="905"/>
      <c r="M13" s="851"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51"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50"/>
      <c r="P13" s="851"/>
      <c r="Q13" s="851"/>
      <c r="R13" s="851"/>
      <c r="S13" s="850"/>
      <c r="T13" s="850" t="s">
        <v>2183</v>
      </c>
      <c r="U13" s="851" t="s">
        <v>2184</v>
      </c>
      <c r="V13" s="851"/>
      <c r="W13" s="851"/>
      <c r="X13" s="850"/>
      <c r="Y13" s="1007"/>
      <c r="Z13" s="853" t="s">
        <v>2185</v>
      </c>
      <c r="AA13" s="856"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53"/>
      <c r="AC13" s="853"/>
      <c r="AD13" s="853"/>
    </row>
    <row customHeight="1" ht="45">
      <c r="A14" s="2600"/>
      <c r="B14" s="906">
        <v>4</v>
      </c>
      <c r="C14" s="2607"/>
      <c r="D14" s="2607"/>
      <c r="E14" s="2607"/>
      <c r="F14" s="2607"/>
      <c r="G14" s="2607"/>
      <c r="H14" s="2599"/>
      <c r="I14" s="908"/>
      <c r="J14" s="908"/>
      <c r="K14" s="908"/>
      <c r="L14" s="908"/>
      <c r="M14" s="854"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51"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0"/>
      <c r="P14" s="851"/>
      <c r="Q14" s="851"/>
      <c r="R14" s="851"/>
      <c r="S14" s="850"/>
      <c r="T14" s="850" t="s">
        <v>2186</v>
      </c>
      <c r="U14" s="851"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51"/>
      <c r="W14" s="851"/>
      <c r="X14" s="850"/>
      <c r="Y14" s="1007"/>
      <c r="Z14" s="853" t="s">
        <v>2187</v>
      </c>
      <c r="AA14" s="856" t="s">
        <v>2187</v>
      </c>
      <c r="AB14" s="853"/>
      <c r="AC14" s="853"/>
      <c r="AD14" s="853"/>
    </row>
    <row customHeight="1" ht="108">
      <c r="A15" s="2600"/>
      <c r="B15" s="906">
        <v>5</v>
      </c>
      <c r="C15" s="2607"/>
      <c r="D15" s="2607"/>
      <c r="E15" s="2607"/>
      <c r="F15" s="2607"/>
      <c r="G15" s="2607"/>
      <c r="H15" s="2601" t="s">
        <v>2188</v>
      </c>
      <c r="I15" s="907"/>
      <c r="J15" s="907"/>
      <c r="K15" s="907"/>
      <c r="L15" s="907"/>
      <c r="M15" s="856"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55"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50"/>
      <c r="P15" s="851"/>
      <c r="Q15" s="851"/>
      <c r="R15" s="851"/>
      <c r="S15" s="850"/>
      <c r="T15" s="850" t="s">
        <v>2189</v>
      </c>
      <c r="U15" s="851"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51"/>
      <c r="W15" s="851"/>
      <c r="X15" s="850"/>
      <c r="Y15" s="1007"/>
      <c r="Z15" s="853" t="s">
        <v>2190</v>
      </c>
      <c r="AA15" s="856"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53"/>
      <c r="AC15" s="853"/>
      <c r="AD15" s="853"/>
    </row>
    <row customHeight="1" ht="108">
      <c r="A16" s="906"/>
      <c r="B16" s="906">
        <v>6</v>
      </c>
      <c r="C16" s="2608"/>
      <c r="D16" s="2608"/>
      <c r="E16" s="2608"/>
      <c r="F16" s="2608"/>
      <c r="G16" s="2608"/>
      <c r="H16" s="2602"/>
      <c r="I16" s="969"/>
      <c r="J16" s="969"/>
      <c r="K16" s="969"/>
      <c r="L16" s="969"/>
      <c r="M16" s="899"/>
      <c r="N16" s="855"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50"/>
      <c r="P16" s="851"/>
      <c r="Q16" s="851"/>
      <c r="R16" s="851"/>
      <c r="S16" s="850"/>
      <c r="T16" s="850"/>
      <c r="U16" s="851"/>
      <c r="V16" s="851"/>
      <c r="W16" s="851"/>
      <c r="X16" s="850"/>
      <c r="Y16" s="1007"/>
      <c r="Z16" s="853" t="s">
        <v>2190</v>
      </c>
      <c r="AA16" s="856"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53"/>
      <c r="AC16" s="853"/>
      <c r="AD16" s="853"/>
    </row>
    <row customHeight="1" ht="9">
      <c r="A17" s="906"/>
      <c r="B17" s="906"/>
      <c r="C17" s="906">
        <v>22</v>
      </c>
      <c r="D17" s="906">
        <v>21</v>
      </c>
      <c r="E17" s="906">
        <v>42</v>
      </c>
      <c r="F17" s="906">
        <v>63</v>
      </c>
      <c r="G17" s="906"/>
      <c r="H17" s="906"/>
      <c r="I17" s="906"/>
      <c r="J17" s="906"/>
      <c r="K17" s="906"/>
      <c r="L17" s="906"/>
      <c r="M17" s="906"/>
      <c r="N17" s="906"/>
      <c r="O17" s="906"/>
      <c r="P17" s="906"/>
      <c r="Q17" s="906"/>
      <c r="R17" s="906"/>
      <c r="S17" s="906"/>
      <c r="T17" s="906"/>
      <c r="U17" s="906"/>
      <c r="V17" s="906"/>
      <c r="W17" s="906"/>
      <c r="X17" s="906"/>
      <c r="Y17" s="906"/>
      <c r="Z17" s="906"/>
      <c r="AA17" s="906"/>
      <c r="AB17" s="906"/>
      <c r="AC17" s="906"/>
      <c r="AD17" s="906"/>
    </row>
    <row customHeight="1" ht="27">
      <c r="A18" s="852" t="s">
        <v>1807</v>
      </c>
      <c r="B18" s="906">
        <v>1</v>
      </c>
      <c r="C18" s="850" t="s">
        <v>2174</v>
      </c>
      <c r="D18" s="974" t="s">
        <v>2174</v>
      </c>
      <c r="E18" s="850" t="s">
        <v>2174</v>
      </c>
      <c r="F18" s="850" t="s">
        <v>2174</v>
      </c>
      <c r="G18" s="850"/>
      <c r="H18" s="1009"/>
      <c r="I18" s="1012">
        <f>INDEX(TEMPLATE_NUMBER_POINT_FHD,B18,MATCH(TEMPLATE_SPHERE,TEMPLATE_SPHERE_LIST_FOR_NOTE,0))</f>
        <v>1</v>
      </c>
      <c r="J18" s="1012" t="str">
        <f>INDEX(TEMPLATE_DATA_POINT_FHD,B18,MATCH(TEMPLATE_SPHERE,TEMPLATE_SPHERE_LIST_FOR_NOTE,0))</f>
        <v>Выручка от регулируемых видов деятельности в сфере холодного водоснабжения</v>
      </c>
      <c r="K18" s="1012" t="str">
        <f>INDEX(TEMPLATE_NOTE_POINT_FHD,B18,MATCH(TEMPLATE_SPHERE,TEMPLATE_SPHERE_LIST_FOR_NOTE,0))</f>
        <v>Указывается выручка с распределением по видам деятельности.</v>
      </c>
      <c r="L18" s="851">
        <f>IF(I18=0,"",I18)</f>
        <v>1</v>
      </c>
      <c r="M18" s="851" t="str">
        <f>IF(J18=0,"",J18)</f>
        <v>Выручка от регулируемых видов деятельности в сфере холодного водоснабжения</v>
      </c>
      <c r="N18" s="851" t="str">
        <f>IF(K18=0,"",K18)</f>
        <v>Указывается выручка с распределением по видам деятельности.</v>
      </c>
      <c r="O18" s="964">
        <v>1</v>
      </c>
      <c r="P18" s="964">
        <v>1</v>
      </c>
      <c r="Q18" s="964">
        <v>1</v>
      </c>
      <c r="R18" s="964">
        <v>1</v>
      </c>
      <c r="S18" s="964"/>
      <c r="T18" s="971" t="s">
        <v>2191</v>
      </c>
      <c r="U18" s="853" t="s">
        <v>2192</v>
      </c>
      <c r="V18" s="853" t="s">
        <v>2193</v>
      </c>
      <c r="W18" s="853" t="s">
        <v>2194</v>
      </c>
      <c r="X18" s="850"/>
      <c r="Y18" s="1007"/>
      <c r="Z18" s="853" t="s">
        <v>2195</v>
      </c>
      <c r="AA18" s="856" t="s">
        <v>2196</v>
      </c>
      <c r="AB18" s="856" t="s">
        <v>2196</v>
      </c>
      <c r="AC18" s="856" t="s">
        <v>2196</v>
      </c>
      <c r="AD18" s="853"/>
    </row>
    <row customHeight="1" ht="36">
      <c r="A19" s="852"/>
      <c r="B19" s="906">
        <v>2</v>
      </c>
      <c r="C19" s="850" t="s">
        <v>2178</v>
      </c>
      <c r="D19" s="974" t="s">
        <v>2178</v>
      </c>
      <c r="E19" s="850" t="s">
        <v>2178</v>
      </c>
      <c r="F19" s="850" t="s">
        <v>2178</v>
      </c>
      <c r="G19" s="850"/>
      <c r="H19" s="1009"/>
      <c r="I19" s="1012">
        <f>INDEX(TEMPLATE_NUMBER_POINT_FHD,B19,MATCH(TEMPLATE_SPHERE,TEMPLATE_SPHERE_LIST_FOR_NOTE,0))</f>
        <v>2</v>
      </c>
      <c r="J19" s="1012"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12" t="str">
        <f>INDEX(TEMPLATE_NOTE_POINT_FHD,B19,MATCH(TEMPLATE_SPHERE,TEMPLATE_SPHERE_LIST_FOR_NOTE,0))</f>
        <v>Указывается суммарная себестоимость производимых товаров.</v>
      </c>
      <c r="L19" s="851">
        <f>IF(I19=0,"",I19)</f>
        <v>2</v>
      </c>
      <c r="M19" s="851" t="str">
        <f>IF(J19=0,"",J19)</f>
        <v>Себестоимость производимых товаров (оказываемых услуг) по регулируемым видам деятельности в сфере холодного водоснабжения, включая:</v>
      </c>
      <c r="N19" s="851" t="str">
        <f>IF(K19=0,"",K19)</f>
        <v>Указывается суммарная себестоимость производимых товаров.</v>
      </c>
      <c r="O19" s="964">
        <v>2</v>
      </c>
      <c r="P19" s="964">
        <v>2</v>
      </c>
      <c r="Q19" s="964">
        <v>2</v>
      </c>
      <c r="R19" s="964">
        <v>2</v>
      </c>
      <c r="S19" s="964"/>
      <c r="T19" s="971" t="s">
        <v>2197</v>
      </c>
      <c r="U19" s="853" t="s">
        <v>2198</v>
      </c>
      <c r="V19" s="853" t="s">
        <v>2199</v>
      </c>
      <c r="W19" s="853" t="s">
        <v>2200</v>
      </c>
      <c r="X19" s="850"/>
      <c r="Y19" s="1007"/>
      <c r="Z19" s="853" t="s">
        <v>2201</v>
      </c>
      <c r="AA19" s="856" t="s">
        <v>2201</v>
      </c>
      <c r="AB19" s="856" t="s">
        <v>2201</v>
      </c>
      <c r="AC19" s="856" t="s">
        <v>2201</v>
      </c>
      <c r="AD19" s="853"/>
    </row>
    <row customHeight="1" ht="27">
      <c r="A20" s="852"/>
      <c r="B20" s="906">
        <v>3</v>
      </c>
      <c r="C20" s="850">
        <v>1</v>
      </c>
      <c r="D20" s="974"/>
      <c r="E20" s="850"/>
      <c r="F20" s="850"/>
      <c r="G20" s="850"/>
      <c r="H20" s="1009"/>
      <c r="I20" s="1012" t="str">
        <f>INDEX(TEMPLATE_NUMBER_POINT_FHD,B20,MATCH(TEMPLATE_SPHERE,TEMPLATE_SPHERE_LIST_FOR_NOTE,0))</f>
        <v>2.1</v>
      </c>
      <c r="J20" s="1012"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12">
        <f>INDEX(TEMPLATE_NOTE_POINT_FHD,B20,MATCH(TEMPLATE_SPHERE,TEMPLATE_SPHERE_LIST_FOR_NOTE,0))</f>
        <v>0</v>
      </c>
      <c r="L20" s="851" t="str">
        <f>IF(I20=0,"",I20)</f>
        <v>2.1</v>
      </c>
      <c r="M20" s="851" t="str">
        <f>IF(J20=0,"",J20)</f>
        <v>Расходы на оплату холодной воды, приобретаемой у других организаций для последующей подачи потребителям</v>
      </c>
      <c r="N20" s="851" t="str">
        <f>IF(K20=0,"",K20)</f>
        <v/>
      </c>
      <c r="O20" s="964" t="s">
        <v>870</v>
      </c>
      <c r="P20" s="964" t="s">
        <v>870</v>
      </c>
      <c r="Q20" s="964" t="s">
        <v>870</v>
      </c>
      <c r="R20" s="964" t="s">
        <v>870</v>
      </c>
      <c r="S20" s="964"/>
      <c r="T20" s="971" t="s">
        <v>2202</v>
      </c>
      <c r="U20" s="853" t="s">
        <v>2203</v>
      </c>
      <c r="V20" s="853" t="s">
        <v>2204</v>
      </c>
      <c r="W20" s="853" t="s">
        <v>2205</v>
      </c>
      <c r="X20" s="850"/>
      <c r="Y20" s="1007"/>
      <c r="Z20" s="853"/>
      <c r="AA20" s="856"/>
      <c r="AB20" s="853"/>
      <c r="AC20" s="853"/>
      <c r="AD20" s="853"/>
    </row>
    <row customHeight="1" ht="36">
      <c r="A21" s="852"/>
      <c r="B21" s="906">
        <v>4</v>
      </c>
      <c r="C21" s="850">
        <v>2</v>
      </c>
      <c r="D21" s="974"/>
      <c r="E21" s="850"/>
      <c r="F21" s="850"/>
      <c r="G21" s="850"/>
      <c r="H21" s="1009"/>
      <c r="I21" s="1012">
        <f>INDEX(TEMPLATE_NUMBER_POINT_FHD,B21,MATCH(TEMPLATE_SPHERE,TEMPLATE_SPHERE_LIST_FOR_NOTE,0))</f>
        <v>0</v>
      </c>
      <c r="J21" s="1012">
        <f>INDEX(TEMPLATE_DATA_POINT_FHD,B21,MATCH(TEMPLATE_SPHERE,TEMPLATE_SPHERE_LIST_FOR_NOTE,0))</f>
        <v>0</v>
      </c>
      <c r="K21" s="1012">
        <f>INDEX(TEMPLATE_NOTE_POINT_FHD,B21,MATCH(TEMPLATE_SPHERE,TEMPLATE_SPHERE_LIST_FOR_NOTE,0))</f>
        <v>0</v>
      </c>
      <c r="L21" s="851" t="str">
        <f>IF(I21=0,"",I21)</f>
        <v/>
      </c>
      <c r="M21" s="851" t="str">
        <f>IF(J21=0,"",J21)</f>
        <v/>
      </c>
      <c r="N21" s="851" t="str">
        <f>IF(K21=0,"",K21)</f>
        <v/>
      </c>
      <c r="O21" s="964" t="s">
        <v>470</v>
      </c>
      <c r="P21" s="964"/>
      <c r="Q21" s="964"/>
      <c r="R21" s="964"/>
      <c r="S21" s="964"/>
      <c r="T21" s="971" t="s">
        <v>2206</v>
      </c>
      <c r="U21" s="853"/>
      <c r="V21" s="853"/>
      <c r="W21" s="853"/>
      <c r="X21" s="850"/>
      <c r="Y21" s="1007"/>
      <c r="Z21" s="853" t="s">
        <v>2207</v>
      </c>
      <c r="AA21" s="856"/>
      <c r="AB21" s="853"/>
      <c r="AC21" s="853"/>
      <c r="AD21" s="853"/>
    </row>
    <row customHeight="1" ht="36">
      <c r="A22" s="852"/>
      <c r="B22" s="906">
        <v>5</v>
      </c>
      <c r="C22" s="850">
        <v>3</v>
      </c>
      <c r="D22" s="974"/>
      <c r="E22" s="850"/>
      <c r="F22" s="850"/>
      <c r="G22" s="898"/>
      <c r="H22" s="965"/>
      <c r="I22" s="1012">
        <f>INDEX(TEMPLATE_NUMBER_POINT_FHD,B22,MATCH(TEMPLATE_SPHERE,TEMPLATE_SPHERE_LIST_FOR_NOTE,0))</f>
        <v>0</v>
      </c>
      <c r="J22" s="1012">
        <f>INDEX(TEMPLATE_DATA_POINT_FHD,B22,MATCH(TEMPLATE_SPHERE,TEMPLATE_SPHERE_LIST_FOR_NOTE,0))</f>
        <v>0</v>
      </c>
      <c r="K22" s="1012">
        <f>INDEX(TEMPLATE_NOTE_POINT_FHD,B22,MATCH(TEMPLATE_SPHERE,TEMPLATE_SPHERE_LIST_FOR_NOTE,0))</f>
        <v>0</v>
      </c>
      <c r="L22" s="851" t="str">
        <f>IF(I22=0,"",I22)</f>
        <v/>
      </c>
      <c r="M22" s="851" t="str">
        <f>IF(J22=0,"",J22)</f>
        <v/>
      </c>
      <c r="N22" s="851" t="str">
        <f>IF(K22=0,"",K22)</f>
        <v/>
      </c>
      <c r="O22" s="964"/>
      <c r="P22" s="964"/>
      <c r="Q22" s="964" t="s">
        <v>470</v>
      </c>
      <c r="R22" s="964"/>
      <c r="S22" s="964"/>
      <c r="T22" s="971"/>
      <c r="U22" s="853"/>
      <c r="V22" s="853" t="s">
        <v>2208</v>
      </c>
      <c r="W22" s="853"/>
      <c r="X22" s="850"/>
      <c r="Y22" s="1007"/>
      <c r="Z22" s="853"/>
      <c r="AA22" s="856"/>
      <c r="AB22" s="853"/>
      <c r="AC22" s="853"/>
      <c r="AD22" s="853"/>
    </row>
    <row customHeight="1" ht="27">
      <c r="A23" s="852"/>
      <c r="B23" s="906">
        <v>6</v>
      </c>
      <c r="C23" s="850">
        <v>4</v>
      </c>
      <c r="D23" s="974"/>
      <c r="E23" s="850"/>
      <c r="F23" s="850"/>
      <c r="G23" s="898"/>
      <c r="H23" s="965"/>
      <c r="I23" s="1012">
        <f>INDEX(TEMPLATE_NUMBER_POINT_FHD,B23,MATCH(TEMPLATE_SPHERE,TEMPLATE_SPHERE_LIST_FOR_NOTE,0))</f>
        <v>0</v>
      </c>
      <c r="J23" s="1012">
        <f>INDEX(TEMPLATE_DATA_POINT_FHD,B23,MATCH(TEMPLATE_SPHERE,TEMPLATE_SPHERE_LIST_FOR_NOTE,0))</f>
        <v>0</v>
      </c>
      <c r="K23" s="1012">
        <f>INDEX(TEMPLATE_NOTE_POINT_FHD,B23,MATCH(TEMPLATE_SPHERE,TEMPLATE_SPHERE_LIST_FOR_NOTE,0))</f>
        <v>0</v>
      </c>
      <c r="L23" s="851" t="str">
        <f>IF(I23=0,"",I23)</f>
        <v/>
      </c>
      <c r="M23" s="851" t="str">
        <f>IF(J23=0,"",J23)</f>
        <v/>
      </c>
      <c r="N23" s="851" t="str">
        <f>IF(K23=0,"",K23)</f>
        <v/>
      </c>
      <c r="O23" s="964"/>
      <c r="P23" s="964"/>
      <c r="Q23" s="964" t="s">
        <v>473</v>
      </c>
      <c r="R23" s="964"/>
      <c r="S23" s="964"/>
      <c r="T23" s="971"/>
      <c r="U23" s="853"/>
      <c r="V23" s="853" t="s">
        <v>2209</v>
      </c>
      <c r="W23" s="853"/>
      <c r="X23" s="850"/>
      <c r="Y23" s="1007"/>
      <c r="Z23" s="853"/>
      <c r="AA23" s="856"/>
      <c r="AB23" s="853"/>
      <c r="AC23" s="853"/>
      <c r="AD23" s="853"/>
    </row>
    <row customHeight="1" ht="36">
      <c r="A24" s="852"/>
      <c r="B24" s="906">
        <v>7</v>
      </c>
      <c r="C24" s="850">
        <v>5</v>
      </c>
      <c r="D24" s="974"/>
      <c r="E24" s="850"/>
      <c r="F24" s="850"/>
      <c r="G24" s="898"/>
      <c r="H24" s="965"/>
      <c r="I24" s="1012">
        <f>INDEX(TEMPLATE_NUMBER_POINT_FHD,B24,MATCH(TEMPLATE_SPHERE,TEMPLATE_SPHERE_LIST_FOR_NOTE,0))</f>
        <v>0</v>
      </c>
      <c r="J24" s="1012">
        <f>INDEX(TEMPLATE_DATA_POINT_FHD,B24,MATCH(TEMPLATE_SPHERE,TEMPLATE_SPHERE_LIST_FOR_NOTE,0))</f>
        <v>0</v>
      </c>
      <c r="K24" s="1012">
        <f>INDEX(TEMPLATE_NOTE_POINT_FHD,B24,MATCH(TEMPLATE_SPHERE,TEMPLATE_SPHERE_LIST_FOR_NOTE,0))</f>
        <v>0</v>
      </c>
      <c r="L24" s="851" t="str">
        <f>IF(I24=0,"",I24)</f>
        <v/>
      </c>
      <c r="M24" s="851" t="str">
        <f>IF(J24=0,"",J24)</f>
        <v/>
      </c>
      <c r="N24" s="851" t="str">
        <f>IF(K24=0,"",K24)</f>
        <v/>
      </c>
      <c r="O24" s="964"/>
      <c r="P24" s="964"/>
      <c r="Q24" s="964" t="s">
        <v>890</v>
      </c>
      <c r="R24" s="964"/>
      <c r="S24" s="964"/>
      <c r="T24" s="971"/>
      <c r="U24" s="853"/>
      <c r="V24" s="853" t="s">
        <v>2210</v>
      </c>
      <c r="W24" s="853"/>
      <c r="X24" s="850"/>
      <c r="Y24" s="1007"/>
      <c r="Z24" s="853"/>
      <c r="AA24" s="856"/>
      <c r="AB24" s="853"/>
      <c r="AC24" s="853"/>
      <c r="AD24" s="853"/>
    </row>
    <row customHeight="1" ht="36">
      <c r="A25" s="852"/>
      <c r="B25" s="906">
        <v>8</v>
      </c>
      <c r="C25" s="850">
        <v>6</v>
      </c>
      <c r="D25" s="974"/>
      <c r="E25" s="850"/>
      <c r="F25" s="850"/>
      <c r="G25" s="898"/>
      <c r="H25" s="965"/>
      <c r="I25" s="1012" t="str">
        <f>INDEX(TEMPLATE_NUMBER_POINT_FHD,B25,MATCH(TEMPLATE_SPHERE,TEMPLATE_SPHERE_LIST_FOR_NOTE,0))</f>
        <v>2.2</v>
      </c>
      <c r="J25" s="1012"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2">
        <f>INDEX(TEMPLATE_NOTE_POINT_FHD,B25,MATCH(TEMPLATE_SPHERE,TEMPLATE_SPHERE_LIST_FOR_NOTE,0))</f>
        <v>0</v>
      </c>
      <c r="L25" s="851" t="str">
        <f>IF(I25=0,"",I25)</f>
        <v>2.2</v>
      </c>
      <c r="M25" s="851" t="str">
        <f>IF(J25=0,"",J25)</f>
        <v>Расходы на приобретаемую электрическую энергию (мощность), используемую в технологическом процессе</v>
      </c>
      <c r="N25" s="851" t="str">
        <f>IF(K25=0,"",K25)</f>
        <v/>
      </c>
      <c r="O25" s="964" t="s">
        <v>473</v>
      </c>
      <c r="P25" s="964" t="s">
        <v>470</v>
      </c>
      <c r="Q25" s="964" t="s">
        <v>897</v>
      </c>
      <c r="R25" s="964" t="s">
        <v>470</v>
      </c>
      <c r="S25" s="964"/>
      <c r="T25" s="971" t="s">
        <v>2211</v>
      </c>
      <c r="U25" s="853" t="s">
        <v>2211</v>
      </c>
      <c r="V25" s="853" t="s">
        <v>2211</v>
      </c>
      <c r="W25" s="853" t="s">
        <v>2211</v>
      </c>
      <c r="X25" s="850"/>
      <c r="Y25" s="1007"/>
      <c r="Z25" s="853"/>
      <c r="AA25" s="856"/>
      <c r="AB25" s="853"/>
      <c r="AC25" s="853"/>
      <c r="AD25" s="853"/>
    </row>
    <row customHeight="1" ht="18">
      <c r="A26" s="852"/>
      <c r="B26" s="906">
        <v>9</v>
      </c>
      <c r="C26" s="850" t="s">
        <v>814</v>
      </c>
      <c r="D26" s="974"/>
      <c r="E26" s="850"/>
      <c r="F26" s="850"/>
      <c r="G26" s="898"/>
      <c r="H26" s="965"/>
      <c r="I26" s="1012" t="str">
        <f>INDEX(TEMPLATE_NUMBER_POINT_FHD,B26,MATCH(TEMPLATE_SPHERE,TEMPLATE_SPHERE_LIST_FOR_NOTE,0))</f>
        <v>2.2.1</v>
      </c>
      <c r="J26" s="1012" t="str">
        <f>INDEX(TEMPLATE_DATA_POINT_FHD,B26,MATCH(TEMPLATE_SPHERE,TEMPLATE_SPHERE_LIST_FOR_NOTE,0))</f>
        <v>Средневзвешенная стоимость 1 кВт.ч (с учетом мощности)</v>
      </c>
      <c r="K26" s="1012">
        <f>INDEX(TEMPLATE_NOTE_POINT_FHD,B26,MATCH(TEMPLATE_SPHERE,TEMPLATE_SPHERE_LIST_FOR_NOTE,0))</f>
        <v>0</v>
      </c>
      <c r="L26" s="851" t="str">
        <f>IF(I26=0,"",I26)</f>
        <v>2.2.1</v>
      </c>
      <c r="M26" s="851" t="str">
        <f>IF(J26=0,"",J26)</f>
        <v>Средневзвешенная стоимость 1 кВт.ч (с учетом мощности)</v>
      </c>
      <c r="N26" s="851" t="str">
        <f>IF(K26=0,"",K26)</f>
        <v/>
      </c>
      <c r="O26" s="964" t="s">
        <v>886</v>
      </c>
      <c r="P26" s="964" t="s">
        <v>880</v>
      </c>
      <c r="Q26" s="964" t="s">
        <v>2212</v>
      </c>
      <c r="R26" s="964" t="s">
        <v>880</v>
      </c>
      <c r="S26" s="964"/>
      <c r="T26" s="971" t="str">
        <f>"Средневзвешенная стоимость 1 кВт.ч"&amp;IF(TITLE_TYPE_ORG="Регулируемая организация"," (с учетом мощности)","")</f>
        <v>Средневзвешенная стоимость 1 кВт.ч</v>
      </c>
      <c r="U26" s="971" t="s">
        <v>2213</v>
      </c>
      <c r="V26" s="971" t="s">
        <v>2213</v>
      </c>
      <c r="W26" s="971" t="s">
        <v>2213</v>
      </c>
      <c r="X26" s="850"/>
      <c r="Y26" s="1007"/>
      <c r="Z26" s="853"/>
      <c r="AA26" s="856"/>
      <c r="AB26" s="853"/>
      <c r="AC26" s="853"/>
      <c r="AD26" s="853"/>
    </row>
    <row customHeight="1" ht="18">
      <c r="A27" s="852"/>
      <c r="B27" s="906">
        <v>10</v>
      </c>
      <c r="C27" s="850" t="s">
        <v>818</v>
      </c>
      <c r="D27" s="974"/>
      <c r="E27" s="850"/>
      <c r="F27" s="850"/>
      <c r="G27" s="898"/>
      <c r="H27" s="965"/>
      <c r="I27" s="1012" t="str">
        <f>INDEX(TEMPLATE_NUMBER_POINT_FHD,B27,MATCH(TEMPLATE_SPHERE,TEMPLATE_SPHERE_LIST_FOR_NOTE,0))</f>
        <v>2.2.2</v>
      </c>
      <c r="J27" s="1012" t="str">
        <f>INDEX(TEMPLATE_DATA_POINT_FHD,B27,MATCH(TEMPLATE_SPHERE,TEMPLATE_SPHERE_LIST_FOR_NOTE,0))</f>
        <v>Объём приобретения электрической энергии</v>
      </c>
      <c r="K27" s="1012">
        <f>INDEX(TEMPLATE_NOTE_POINT_FHD,B27,MATCH(TEMPLATE_SPHERE,TEMPLATE_SPHERE_LIST_FOR_NOTE,0))</f>
        <v>0</v>
      </c>
      <c r="L27" s="851" t="str">
        <f>IF(I27=0,"",I27)</f>
        <v>2.2.2</v>
      </c>
      <c r="M27" s="851" t="str">
        <f>IF(J27=0,"",J27)</f>
        <v>Объём приобретения электрической энергии</v>
      </c>
      <c r="N27" s="851" t="str">
        <f>IF(K27=0,"",K27)</f>
        <v/>
      </c>
      <c r="O27" s="964" t="s">
        <v>888</v>
      </c>
      <c r="P27" s="964" t="s">
        <v>882</v>
      </c>
      <c r="Q27" s="964" t="s">
        <v>2214</v>
      </c>
      <c r="R27" s="964" t="s">
        <v>882</v>
      </c>
      <c r="S27" s="964"/>
      <c r="T27" s="971" t="s">
        <v>2215</v>
      </c>
      <c r="U27" s="971" t="s">
        <v>2215</v>
      </c>
      <c r="V27" s="971" t="s">
        <v>2215</v>
      </c>
      <c r="W27" s="971" t="s">
        <v>2215</v>
      </c>
      <c r="X27" s="850"/>
      <c r="Y27" s="1007"/>
      <c r="Z27" s="853"/>
      <c r="AA27" s="856"/>
      <c r="AB27" s="853"/>
      <c r="AC27" s="853"/>
      <c r="AD27" s="853"/>
    </row>
    <row customHeight="1" ht="27">
      <c r="A28" s="852"/>
      <c r="B28" s="906">
        <v>11</v>
      </c>
      <c r="C28" s="850">
        <v>7</v>
      </c>
      <c r="D28" s="974"/>
      <c r="E28" s="850"/>
      <c r="F28" s="850"/>
      <c r="G28" s="898"/>
      <c r="H28" s="965"/>
      <c r="I28" s="1012">
        <f>INDEX(TEMPLATE_NUMBER_POINT_FHD,B28,MATCH(TEMPLATE_SPHERE,TEMPLATE_SPHERE_LIST_FOR_NOTE,0))</f>
        <v>0</v>
      </c>
      <c r="J28" s="1012">
        <f>INDEX(TEMPLATE_DATA_POINT_FHD,B28,MATCH(TEMPLATE_SPHERE,TEMPLATE_SPHERE_LIST_FOR_NOTE,0))</f>
        <v>0</v>
      </c>
      <c r="K28" s="1012">
        <f>INDEX(TEMPLATE_NOTE_POINT_FHD,B28,MATCH(TEMPLATE_SPHERE,TEMPLATE_SPHERE_LIST_FOR_NOTE,0))</f>
        <v>0</v>
      </c>
      <c r="L28" s="851" t="str">
        <f>IF(I28=0,"",I28)</f>
        <v/>
      </c>
      <c r="M28" s="851" t="str">
        <f>IF(J28=0,"",J28)</f>
        <v/>
      </c>
      <c r="N28" s="851" t="str">
        <f>IF(K28=0,"",K28)</f>
        <v/>
      </c>
      <c r="O28" s="964" t="s">
        <v>890</v>
      </c>
      <c r="P28" s="964"/>
      <c r="Q28" s="964"/>
      <c r="R28" s="964"/>
      <c r="S28" s="964"/>
      <c r="T28" s="971" t="s">
        <v>2216</v>
      </c>
      <c r="U28" s="853"/>
      <c r="V28" s="853"/>
      <c r="W28" s="853"/>
      <c r="X28" s="850"/>
      <c r="Y28" s="1007"/>
      <c r="Z28" s="853"/>
      <c r="AA28" s="856"/>
      <c r="AB28" s="853"/>
      <c r="AC28" s="853"/>
      <c r="AD28" s="853"/>
    </row>
    <row customHeight="1" ht="27">
      <c r="A29" s="852"/>
      <c r="B29" s="906">
        <v>12</v>
      </c>
      <c r="C29" s="850">
        <v>8</v>
      </c>
      <c r="D29" s="974"/>
      <c r="E29" s="850"/>
      <c r="F29" s="850"/>
      <c r="G29" s="898"/>
      <c r="H29" s="965"/>
      <c r="I29" s="1012" t="str">
        <f>INDEX(TEMPLATE_NUMBER_POINT_FHD,B29,MATCH(TEMPLATE_SPHERE,TEMPLATE_SPHERE_LIST_FOR_NOTE,0))</f>
        <v>2.3</v>
      </c>
      <c r="J29" s="1012" t="str">
        <f>INDEX(TEMPLATE_DATA_POINT_FHD,B29,MATCH(TEMPLATE_SPHERE,TEMPLATE_SPHERE_LIST_FOR_NOTE,0))</f>
        <v>Расходы на химические реагенты, используемые в технологическом процессе</v>
      </c>
      <c r="K29" s="1012">
        <f>INDEX(TEMPLATE_NOTE_POINT_FHD,B29,MATCH(TEMPLATE_SPHERE,TEMPLATE_SPHERE_LIST_FOR_NOTE,0))</f>
        <v>0</v>
      </c>
      <c r="L29" s="851" t="str">
        <f>IF(I29=0,"",I29)</f>
        <v>2.3</v>
      </c>
      <c r="M29" s="851" t="str">
        <f>IF(J29=0,"",J29)</f>
        <v>Расходы на химические реагенты, используемые в технологическом процессе</v>
      </c>
      <c r="N29" s="851" t="str">
        <f>IF(K29=0,"",K29)</f>
        <v/>
      </c>
      <c r="O29" s="964" t="s">
        <v>897</v>
      </c>
      <c r="P29" s="964" t="s">
        <v>473</v>
      </c>
      <c r="Q29" s="964"/>
      <c r="R29" s="964" t="s">
        <v>473</v>
      </c>
      <c r="S29" s="964"/>
      <c r="T29" s="971"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53" t="s">
        <v>2217</v>
      </c>
      <c r="V29" s="853"/>
      <c r="W29" s="853" t="s">
        <v>2217</v>
      </c>
      <c r="X29" s="850"/>
      <c r="Y29" s="1007"/>
      <c r="Z29" s="853"/>
      <c r="AA29" s="856"/>
      <c r="AB29" s="853"/>
      <c r="AC29" s="853"/>
      <c r="AD29" s="853"/>
    </row>
    <row customHeight="1" ht="54">
      <c r="A30" s="852"/>
      <c r="B30" s="906">
        <v>13</v>
      </c>
      <c r="C30" s="850">
        <v>9</v>
      </c>
      <c r="D30" s="974"/>
      <c r="E30" s="850"/>
      <c r="F30" s="850"/>
      <c r="G30" s="898"/>
      <c r="H30" s="965"/>
      <c r="I30" s="1012" t="str">
        <f>INDEX(TEMPLATE_NUMBER_POINT_FHD,B30,MATCH(TEMPLATE_SPHERE,TEMPLATE_SPHERE_LIST_FOR_NOTE,0))</f>
        <v>2.4</v>
      </c>
      <c r="J30" s="1012"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2"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51" t="str">
        <f>IF(I30=0,"",I30)</f>
        <v>2.4</v>
      </c>
      <c r="M30" s="851"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1" t="str">
        <f>IF(K30=0,"",K30)</f>
        <v>Указывается общая сумма расходов на оплату труда и отчислений на социальные нужды основного производственного персонала.</v>
      </c>
      <c r="O30" s="964" t="s">
        <v>899</v>
      </c>
      <c r="P30" s="964" t="s">
        <v>890</v>
      </c>
      <c r="Q30" s="964" t="s">
        <v>899</v>
      </c>
      <c r="R30" s="964" t="s">
        <v>890</v>
      </c>
      <c r="S30" s="964"/>
      <c r="T30" s="971" t="s">
        <v>2218</v>
      </c>
      <c r="U30" s="853" t="s">
        <v>2218</v>
      </c>
      <c r="V30" s="853" t="s">
        <v>2218</v>
      </c>
      <c r="W30" s="853" t="s">
        <v>2218</v>
      </c>
      <c r="X30" s="850"/>
      <c r="Y30" s="1007"/>
      <c r="Z30" s="853"/>
      <c r="AA30" s="856" t="s">
        <v>2219</v>
      </c>
      <c r="AB30" s="856" t="s">
        <v>2219</v>
      </c>
      <c r="AC30" s="856" t="s">
        <v>2219</v>
      </c>
      <c r="AD30" s="853"/>
    </row>
    <row customHeight="1" ht="18">
      <c r="A31" s="852"/>
      <c r="B31" s="906">
        <v>14</v>
      </c>
      <c r="C31" s="850" t="s">
        <v>2220</v>
      </c>
      <c r="D31" s="974"/>
      <c r="E31" s="850"/>
      <c r="F31" s="850"/>
      <c r="G31" s="898"/>
      <c r="H31" s="965"/>
      <c r="I31" s="1012" t="str">
        <f>INDEX(TEMPLATE_NUMBER_POINT_FHD,B31,MATCH(TEMPLATE_SPHERE,TEMPLATE_SPHERE_LIST_FOR_NOTE,0))</f>
        <v>2.4.1</v>
      </c>
      <c r="J31" s="1012" t="str">
        <f>INDEX(TEMPLATE_DATA_POINT_FHD,B31,MATCH(TEMPLATE_SPHERE,TEMPLATE_SPHERE_LIST_FOR_NOTE,0))</f>
        <v>Расходы на оплату труда основного производственного персонала</v>
      </c>
      <c r="K31" s="1012">
        <f>INDEX(TEMPLATE_NOTE_POINT_FHD,B31,MATCH(TEMPLATE_SPHERE,TEMPLATE_SPHERE_LIST_FOR_NOTE,0))</f>
        <v>0</v>
      </c>
      <c r="L31" s="851" t="str">
        <f>IF(I31=0,"",I31)</f>
        <v>2.4.1</v>
      </c>
      <c r="M31" s="851" t="str">
        <f>IF(J31=0,"",J31)</f>
        <v>Расходы на оплату труда основного производственного персонала</v>
      </c>
      <c r="N31" s="851" t="str">
        <f>IF(K31=0,"",K31)</f>
        <v/>
      </c>
      <c r="O31" s="964" t="s">
        <v>2221</v>
      </c>
      <c r="P31" s="964" t="s">
        <v>893</v>
      </c>
      <c r="Q31" s="964" t="s">
        <v>2221</v>
      </c>
      <c r="R31" s="964" t="s">
        <v>893</v>
      </c>
      <c r="S31" s="964"/>
      <c r="T31" s="972" t="s">
        <v>2222</v>
      </c>
      <c r="U31" s="853" t="s">
        <v>2222</v>
      </c>
      <c r="V31" s="853" t="s">
        <v>2222</v>
      </c>
      <c r="W31" s="853" t="s">
        <v>2222</v>
      </c>
      <c r="X31" s="850"/>
      <c r="Y31" s="1007"/>
      <c r="Z31" s="853"/>
      <c r="AA31" s="856"/>
      <c r="AB31" s="856"/>
      <c r="AC31" s="856"/>
      <c r="AD31" s="853"/>
    </row>
    <row customHeight="1" ht="36">
      <c r="A32" s="852"/>
      <c r="B32" s="906">
        <v>15</v>
      </c>
      <c r="C32" s="850" t="s">
        <v>2223</v>
      </c>
      <c r="D32" s="974"/>
      <c r="E32" s="850"/>
      <c r="F32" s="850"/>
      <c r="G32" s="898"/>
      <c r="H32" s="965"/>
      <c r="I32" s="1012" t="str">
        <f>INDEX(TEMPLATE_NUMBER_POINT_FHD,B32,MATCH(TEMPLATE_SPHERE,TEMPLATE_SPHERE_LIST_FOR_NOTE,0))</f>
        <v>2.4.2</v>
      </c>
      <c r="J32" s="1012"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2">
        <f>INDEX(TEMPLATE_NOTE_POINT_FHD,B32,MATCH(TEMPLATE_SPHERE,TEMPLATE_SPHERE_LIST_FOR_NOTE,0))</f>
        <v>0</v>
      </c>
      <c r="L32" s="851" t="str">
        <f>IF(I32=0,"",I32)</f>
        <v>2.4.2</v>
      </c>
      <c r="M32" s="851" t="str">
        <f>IF(J32=0,"",J32)</f>
        <v>Страховые взносы на обязательное социальное страхование, выплачиваемые из фонда оплаты труда основного производственного персонала</v>
      </c>
      <c r="N32" s="851" t="str">
        <f>IF(K32=0,"",K32)</f>
        <v/>
      </c>
      <c r="O32" s="964" t="s">
        <v>2224</v>
      </c>
      <c r="P32" s="964" t="s">
        <v>895</v>
      </c>
      <c r="Q32" s="964" t="s">
        <v>2224</v>
      </c>
      <c r="R32" s="964" t="s">
        <v>895</v>
      </c>
      <c r="S32" s="964"/>
      <c r="T32" s="973"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53" t="s">
        <v>2225</v>
      </c>
      <c r="V32" s="853" t="s">
        <v>2225</v>
      </c>
      <c r="W32" s="853" t="s">
        <v>2225</v>
      </c>
      <c r="X32" s="850"/>
      <c r="Y32" s="1007"/>
      <c r="Z32" s="853"/>
      <c r="AA32" s="856"/>
      <c r="AB32" s="856"/>
      <c r="AC32" s="856"/>
      <c r="AD32" s="853"/>
    </row>
    <row customHeight="1" ht="45">
      <c r="A33" s="852"/>
      <c r="B33" s="906">
        <v>16</v>
      </c>
      <c r="C33" s="850">
        <v>10</v>
      </c>
      <c r="D33" s="974"/>
      <c r="E33" s="850"/>
      <c r="F33" s="850"/>
      <c r="G33" s="898"/>
      <c r="H33" s="965"/>
      <c r="I33" s="1012" t="str">
        <f>INDEX(TEMPLATE_NUMBER_POINT_FHD,B33,MATCH(TEMPLATE_SPHERE,TEMPLATE_SPHERE_LIST_FOR_NOTE,0))</f>
        <v>2.5</v>
      </c>
      <c r="J33" s="1012"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12"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51" t="str">
        <f>IF(I33=0,"",I33)</f>
        <v>2.5</v>
      </c>
      <c r="M33" s="851"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51" t="str">
        <f>IF(K33=0,"",K33)</f>
        <v>Указывается общая сумма расходов на оплату труда и отчислений на социальные нужды административно-управленческого персонала.</v>
      </c>
      <c r="O33" s="964" t="s">
        <v>901</v>
      </c>
      <c r="P33" s="964" t="s">
        <v>897</v>
      </c>
      <c r="Q33" s="964" t="s">
        <v>901</v>
      </c>
      <c r="R33" s="964" t="s">
        <v>897</v>
      </c>
      <c r="S33" s="964"/>
      <c r="T33" s="972"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53" t="s">
        <v>2226</v>
      </c>
      <c r="V33" s="853" t="s">
        <v>2226</v>
      </c>
      <c r="W33" s="853" t="s">
        <v>2227</v>
      </c>
      <c r="X33" s="850"/>
      <c r="Y33" s="1007"/>
      <c r="Z33" s="853"/>
      <c r="AA33" s="856" t="s">
        <v>2228</v>
      </c>
      <c r="AB33" s="856" t="s">
        <v>2228</v>
      </c>
      <c r="AC33" s="856" t="s">
        <v>2228</v>
      </c>
      <c r="AD33" s="853"/>
    </row>
    <row customHeight="1" ht="27">
      <c r="A34" s="852"/>
      <c r="B34" s="906">
        <v>17</v>
      </c>
      <c r="C34" s="850" t="s">
        <v>2229</v>
      </c>
      <c r="D34" s="974"/>
      <c r="E34" s="850"/>
      <c r="F34" s="850"/>
      <c r="G34" s="898"/>
      <c r="H34" s="965"/>
      <c r="I34" s="1012" t="str">
        <f>INDEX(TEMPLATE_NUMBER_POINT_FHD,B34,MATCH(TEMPLATE_SPHERE,TEMPLATE_SPHERE_LIST_FOR_NOTE,0))</f>
        <v>2.5.1</v>
      </c>
      <c r="J34" s="1012" t="str">
        <f>INDEX(TEMPLATE_DATA_POINT_FHD,B34,MATCH(TEMPLATE_SPHERE,TEMPLATE_SPHERE_LIST_FOR_NOTE,0))</f>
        <v>Расходы на оплату труда административно-управленческого персонала</v>
      </c>
      <c r="K34" s="1012">
        <f>INDEX(TEMPLATE_NOTE_POINT_FHD,B34,MATCH(TEMPLATE_SPHERE,TEMPLATE_SPHERE_LIST_FOR_NOTE,0))</f>
        <v>0</v>
      </c>
      <c r="L34" s="851" t="str">
        <f>IF(I34=0,"",I34)</f>
        <v>2.5.1</v>
      </c>
      <c r="M34" s="851" t="str">
        <f>IF(J34=0,"",J34)</f>
        <v>Расходы на оплату труда административно-управленческого персонала</v>
      </c>
      <c r="N34" s="851" t="str">
        <f>IF(K34=0,"",K34)</f>
        <v/>
      </c>
      <c r="O34" s="964" t="s">
        <v>2230</v>
      </c>
      <c r="P34" s="964" t="s">
        <v>2212</v>
      </c>
      <c r="Q34" s="964" t="s">
        <v>2230</v>
      </c>
      <c r="R34" s="964" t="s">
        <v>2212</v>
      </c>
      <c r="S34" s="964"/>
      <c r="T34" s="973" t="s">
        <v>2231</v>
      </c>
      <c r="U34" s="853" t="s">
        <v>2231</v>
      </c>
      <c r="V34" s="853" t="s">
        <v>2231</v>
      </c>
      <c r="W34" s="853" t="s">
        <v>2232</v>
      </c>
      <c r="X34" s="850"/>
      <c r="Y34" s="1007"/>
      <c r="Z34" s="853"/>
      <c r="AA34" s="856"/>
      <c r="AB34" s="853"/>
      <c r="AC34" s="853"/>
      <c r="AD34" s="853"/>
    </row>
    <row customHeight="1" ht="45">
      <c r="A35" s="852"/>
      <c r="B35" s="906">
        <v>18</v>
      </c>
      <c r="C35" s="850" t="s">
        <v>2233</v>
      </c>
      <c r="D35" s="974"/>
      <c r="E35" s="850"/>
      <c r="F35" s="850"/>
      <c r="G35" s="898"/>
      <c r="H35" s="965"/>
      <c r="I35" s="1012" t="str">
        <f>INDEX(TEMPLATE_NUMBER_POINT_FHD,B35,MATCH(TEMPLATE_SPHERE,TEMPLATE_SPHERE_LIST_FOR_NOTE,0))</f>
        <v>2.5.2</v>
      </c>
      <c r="J35" s="1012"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2">
        <f>INDEX(TEMPLATE_NOTE_POINT_FHD,B35,MATCH(TEMPLATE_SPHERE,TEMPLATE_SPHERE_LIST_FOR_NOTE,0))</f>
        <v>0</v>
      </c>
      <c r="L35" s="851" t="str">
        <f>IF(I35=0,"",I35)</f>
        <v>2.5.2</v>
      </c>
      <c r="M35" s="851"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1" t="str">
        <f>IF(K35=0,"",K35)</f>
        <v/>
      </c>
      <c r="O35" s="964" t="s">
        <v>2234</v>
      </c>
      <c r="P35" s="964" t="s">
        <v>2214</v>
      </c>
      <c r="Q35" s="964" t="s">
        <v>2234</v>
      </c>
      <c r="R35" s="964" t="s">
        <v>2214</v>
      </c>
      <c r="S35" s="964"/>
      <c r="T35" s="971"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53" t="s">
        <v>2235</v>
      </c>
      <c r="V35" s="853" t="s">
        <v>2235</v>
      </c>
      <c r="W35" s="853" t="s">
        <v>2235</v>
      </c>
      <c r="X35" s="850"/>
      <c r="Y35" s="1007"/>
      <c r="Z35" s="853"/>
      <c r="AA35" s="856"/>
      <c r="AB35" s="853"/>
      <c r="AC35" s="853"/>
      <c r="AD35" s="853"/>
    </row>
    <row customHeight="1" ht="18">
      <c r="A36" s="852"/>
      <c r="B36" s="906">
        <v>19</v>
      </c>
      <c r="C36" s="850">
        <v>11</v>
      </c>
      <c r="D36" s="974"/>
      <c r="E36" s="850"/>
      <c r="F36" s="850"/>
      <c r="G36" s="898"/>
      <c r="H36" s="965"/>
      <c r="I36" s="1012" t="str">
        <f>INDEX(TEMPLATE_NUMBER_POINT_FHD,B36,MATCH(TEMPLATE_SPHERE,TEMPLATE_SPHERE_LIST_FOR_NOTE,0))</f>
        <v>2.6</v>
      </c>
      <c r="J36" s="1012" t="str">
        <f>INDEX(TEMPLATE_DATA_POINT_FHD,B36,MATCH(TEMPLATE_SPHERE,TEMPLATE_SPHERE_LIST_FOR_NOTE,0))</f>
        <v>Расходы на амортизацию основных средств и нематериальных активов</v>
      </c>
      <c r="K36" s="1012">
        <f>INDEX(TEMPLATE_NOTE_POINT_FHD,B36,MATCH(TEMPLATE_SPHERE,TEMPLATE_SPHERE_LIST_FOR_NOTE,0))</f>
        <v>0</v>
      </c>
      <c r="L36" s="851" t="str">
        <f>IF(I36=0,"",I36)</f>
        <v>2.6</v>
      </c>
      <c r="M36" s="851" t="str">
        <f>IF(J36=0,"",J36)</f>
        <v>Расходы на амортизацию основных средств и нематериальных активов</v>
      </c>
      <c r="N36" s="851" t="str">
        <f>IF(K36=0,"",K36)</f>
        <v/>
      </c>
      <c r="O36" s="964" t="s">
        <v>903</v>
      </c>
      <c r="P36" s="964" t="s">
        <v>899</v>
      </c>
      <c r="Q36" s="964" t="s">
        <v>903</v>
      </c>
      <c r="R36" s="964" t="s">
        <v>899</v>
      </c>
      <c r="S36" s="964"/>
      <c r="T36" s="971" t="s">
        <v>2236</v>
      </c>
      <c r="U36" s="853" t="s">
        <v>2236</v>
      </c>
      <c r="V36" s="853" t="s">
        <v>2236</v>
      </c>
      <c r="W36" s="853" t="s">
        <v>2236</v>
      </c>
      <c r="X36" s="850"/>
      <c r="Y36" s="1007"/>
      <c r="Z36" s="853"/>
      <c r="AA36" s="856"/>
      <c r="AB36" s="853"/>
      <c r="AC36" s="853"/>
      <c r="AD36" s="853"/>
    </row>
    <row customHeight="1" ht="18">
      <c r="A37" s="852"/>
      <c r="B37" s="906">
        <v>20</v>
      </c>
      <c r="C37" s="850" t="s">
        <v>2237</v>
      </c>
      <c r="D37" s="974"/>
      <c r="E37" s="850"/>
      <c r="F37" s="850"/>
      <c r="G37" s="898"/>
      <c r="H37" s="965"/>
      <c r="I37" s="1012" t="str">
        <f>INDEX(TEMPLATE_NUMBER_POINT_FHD,B37,MATCH(TEMPLATE_SPHERE,TEMPLATE_SPHERE_LIST_FOR_NOTE,0))</f>
        <v>2.6.1</v>
      </c>
      <c r="J37" s="1012" t="str">
        <f>INDEX(TEMPLATE_DATA_POINT_FHD,B37,MATCH(TEMPLATE_SPHERE,TEMPLATE_SPHERE_LIST_FOR_NOTE,0))</f>
        <v>Расходы на амортизацию основных средств</v>
      </c>
      <c r="K37" s="1012">
        <f>INDEX(TEMPLATE_NOTE_POINT_FHD,B37,MATCH(TEMPLATE_SPHERE,TEMPLATE_SPHERE_LIST_FOR_NOTE,0))</f>
        <v>0</v>
      </c>
      <c r="L37" s="851" t="str">
        <f>IF(I37=0,"",I37)</f>
        <v>2.6.1</v>
      </c>
      <c r="M37" s="851" t="str">
        <f>IF(J37=0,"",J37)</f>
        <v>Расходы на амортизацию основных средств</v>
      </c>
      <c r="N37" s="851" t="str">
        <f>IF(K37=0,"",K37)</f>
        <v/>
      </c>
      <c r="O37" s="964" t="s">
        <v>2238</v>
      </c>
      <c r="P37" s="964" t="s">
        <v>2221</v>
      </c>
      <c r="Q37" s="964" t="s">
        <v>2238</v>
      </c>
      <c r="R37" s="964" t="s">
        <v>2221</v>
      </c>
      <c r="S37" s="964"/>
      <c r="T37" s="971" t="s">
        <v>2239</v>
      </c>
      <c r="U37" s="853" t="s">
        <v>2239</v>
      </c>
      <c r="V37" s="853" t="s">
        <v>2239</v>
      </c>
      <c r="W37" s="853" t="s">
        <v>2239</v>
      </c>
      <c r="X37" s="850"/>
      <c r="Y37" s="1007"/>
      <c r="Z37" s="853"/>
      <c r="AA37" s="856"/>
      <c r="AB37" s="853"/>
      <c r="AC37" s="853"/>
      <c r="AD37" s="853"/>
    </row>
    <row customHeight="1" ht="18">
      <c r="A38" s="852"/>
      <c r="B38" s="906">
        <v>21</v>
      </c>
      <c r="C38" s="850" t="s">
        <v>2240</v>
      </c>
      <c r="D38" s="974"/>
      <c r="E38" s="850"/>
      <c r="F38" s="850"/>
      <c r="G38" s="898"/>
      <c r="H38" s="965"/>
      <c r="I38" s="1012" t="str">
        <f>INDEX(TEMPLATE_NUMBER_POINT_FHD,B38,MATCH(TEMPLATE_SPHERE,TEMPLATE_SPHERE_LIST_FOR_NOTE,0))</f>
        <v>2.6.2</v>
      </c>
      <c r="J38" s="1012" t="str">
        <f>INDEX(TEMPLATE_DATA_POINT_FHD,B38,MATCH(TEMPLATE_SPHERE,TEMPLATE_SPHERE_LIST_FOR_NOTE,0))</f>
        <v>Расходы на амортизацию нематериальных активов</v>
      </c>
      <c r="K38" s="1012">
        <f>INDEX(TEMPLATE_NOTE_POINT_FHD,B38,MATCH(TEMPLATE_SPHERE,TEMPLATE_SPHERE_LIST_FOR_NOTE,0))</f>
        <v>0</v>
      </c>
      <c r="L38" s="851" t="str">
        <f>IF(I38=0,"",I38)</f>
        <v>2.6.2</v>
      </c>
      <c r="M38" s="851" t="str">
        <f>IF(J38=0,"",J38)</f>
        <v>Расходы на амортизацию нематериальных активов</v>
      </c>
      <c r="N38" s="851" t="str">
        <f>IF(K38=0,"",K38)</f>
        <v/>
      </c>
      <c r="O38" s="964" t="s">
        <v>2241</v>
      </c>
      <c r="P38" s="964" t="s">
        <v>2224</v>
      </c>
      <c r="Q38" s="964" t="s">
        <v>2241</v>
      </c>
      <c r="R38" s="964" t="s">
        <v>2224</v>
      </c>
      <c r="S38" s="964"/>
      <c r="T38" s="971" t="s">
        <v>2242</v>
      </c>
      <c r="U38" s="853" t="s">
        <v>2242</v>
      </c>
      <c r="V38" s="853" t="s">
        <v>2242</v>
      </c>
      <c r="W38" s="853" t="s">
        <v>2242</v>
      </c>
      <c r="X38" s="850"/>
      <c r="Y38" s="1007"/>
      <c r="Z38" s="853"/>
      <c r="AA38" s="856"/>
      <c r="AB38" s="853"/>
      <c r="AC38" s="853"/>
      <c r="AD38" s="853"/>
    </row>
    <row customHeight="1" ht="36">
      <c r="A39" s="852"/>
      <c r="B39" s="906">
        <v>22</v>
      </c>
      <c r="C39" s="850">
        <v>12</v>
      </c>
      <c r="D39" s="974"/>
      <c r="E39" s="850"/>
      <c r="F39" s="850"/>
      <c r="G39" s="898"/>
      <c r="H39" s="965"/>
      <c r="I39" s="1012" t="str">
        <f>INDEX(TEMPLATE_NUMBER_POINT_FHD,B39,MATCH(TEMPLATE_SPHERE,TEMPLATE_SPHERE_LIST_FOR_NOTE,0))</f>
        <v>2.7</v>
      </c>
      <c r="J39" s="1012"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12">
        <f>INDEX(TEMPLATE_NOTE_POINT_FHD,B39,MATCH(TEMPLATE_SPHERE,TEMPLATE_SPHERE_LIST_FOR_NOTE,0))</f>
        <v>0</v>
      </c>
      <c r="L39" s="851" t="str">
        <f>IF(I39=0,"",I39)</f>
        <v>2.7</v>
      </c>
      <c r="M39" s="851" t="str">
        <f>IF(J39=0,"",J39)</f>
        <v>Расходы на аренду имущества, используемого для осуществления регулируемых видов деятельности в сфере холодного водоснабжения</v>
      </c>
      <c r="N39" s="851" t="str">
        <f>IF(K39=0,"",K39)</f>
        <v/>
      </c>
      <c r="O39" s="964" t="s">
        <v>907</v>
      </c>
      <c r="P39" s="964" t="s">
        <v>901</v>
      </c>
      <c r="Q39" s="964" t="s">
        <v>907</v>
      </c>
      <c r="R39" s="964" t="s">
        <v>901</v>
      </c>
      <c r="S39" s="964"/>
      <c r="T39" s="971" t="s">
        <v>2243</v>
      </c>
      <c r="U39" s="853" t="s">
        <v>2244</v>
      </c>
      <c r="V39" s="853" t="s">
        <v>2245</v>
      </c>
      <c r="W39" s="853" t="s">
        <v>2246</v>
      </c>
      <c r="X39" s="850"/>
      <c r="Y39" s="1007"/>
      <c r="Z39" s="853"/>
      <c r="AA39" s="856"/>
      <c r="AB39" s="853"/>
      <c r="AC39" s="853"/>
      <c r="AD39" s="853"/>
    </row>
    <row customHeight="1" ht="18">
      <c r="A40" s="852"/>
      <c r="B40" s="906">
        <v>23</v>
      </c>
      <c r="C40" s="850">
        <v>13</v>
      </c>
      <c r="D40" s="974"/>
      <c r="E40" s="850"/>
      <c r="F40" s="850"/>
      <c r="G40" s="850"/>
      <c r="H40" s="901"/>
      <c r="I40" s="1012" t="str">
        <f>INDEX(TEMPLATE_NUMBER_POINT_FHD,B40,MATCH(TEMPLATE_SPHERE,TEMPLATE_SPHERE_LIST_FOR_NOTE,0))</f>
        <v>2.8</v>
      </c>
      <c r="J40" s="1012" t="str">
        <f>INDEX(TEMPLATE_DATA_POINT_FHD,B40,MATCH(TEMPLATE_SPHERE,TEMPLATE_SPHERE_LIST_FOR_NOTE,0))</f>
        <v>Общепроизводственные расходы, в том числе:</v>
      </c>
      <c r="K40" s="1012" t="str">
        <f>INDEX(TEMPLATE_NOTE_POINT_FHD,B40,MATCH(TEMPLATE_SPHERE,TEMPLATE_SPHERE_LIST_FOR_NOTE,0))</f>
        <v>Указывается общая сумма общепроизводственных расходов.</v>
      </c>
      <c r="L40" s="851" t="str">
        <f>IF(I40=0,"",I40)</f>
        <v>2.8</v>
      </c>
      <c r="M40" s="851" t="str">
        <f>IF(J40=0,"",J40)</f>
        <v>Общепроизводственные расходы, в том числе:</v>
      </c>
      <c r="N40" s="851" t="str">
        <f>IF(K40=0,"",K40)</f>
        <v>Указывается общая сумма общепроизводственных расходов.</v>
      </c>
      <c r="O40" s="964" t="s">
        <v>2247</v>
      </c>
      <c r="P40" s="964" t="s">
        <v>903</v>
      </c>
      <c r="Q40" s="964" t="s">
        <v>2247</v>
      </c>
      <c r="R40" s="964" t="s">
        <v>903</v>
      </c>
      <c r="S40" s="964"/>
      <c r="T40" s="850" t="s">
        <v>2248</v>
      </c>
      <c r="U40" s="850" t="s">
        <v>2248</v>
      </c>
      <c r="V40" s="850" t="s">
        <v>2248</v>
      </c>
      <c r="W40" s="850" t="s">
        <v>2248</v>
      </c>
      <c r="X40" s="850"/>
      <c r="Y40" s="1007"/>
      <c r="Z40" s="853" t="s">
        <v>2249</v>
      </c>
      <c r="AA40" s="856" t="s">
        <v>2249</v>
      </c>
      <c r="AB40" s="856" t="s">
        <v>2249</v>
      </c>
      <c r="AC40" s="856" t="s">
        <v>2249</v>
      </c>
      <c r="AD40" s="853"/>
    </row>
    <row customHeight="1" ht="27">
      <c r="A41" s="852"/>
      <c r="B41" s="906">
        <v>24</v>
      </c>
      <c r="C41" s="850" t="s">
        <v>2250</v>
      </c>
      <c r="D41" s="974"/>
      <c r="E41" s="850"/>
      <c r="F41" s="850"/>
      <c r="G41" s="850"/>
      <c r="H41" s="898"/>
      <c r="I41" s="1012" t="str">
        <f>INDEX(TEMPLATE_NUMBER_POINT_FHD,B41,MATCH(TEMPLATE_SPHERE,TEMPLATE_SPHERE_LIST_FOR_NOTE,0))</f>
        <v>2.8.1</v>
      </c>
      <c r="J41" s="1012" t="str">
        <f>INDEX(TEMPLATE_DATA_POINT_FHD,B41,MATCH(TEMPLATE_SPHERE,TEMPLATE_SPHERE_LIST_FOR_NOTE,0))</f>
        <v>Расходы на текущий ремонт</v>
      </c>
      <c r="K41" s="1012" t="str">
        <f>INDEX(TEMPLATE_NOTE_POINT_FHD,B41,MATCH(TEMPLATE_SPHERE,TEMPLATE_SPHERE_LIST_FOR_NOTE,0))</f>
        <v>Указываются расходы на текущий ремонт, отнесенные к общепроизводственным расходам.</v>
      </c>
      <c r="L41" s="851" t="str">
        <f>IF(I41=0,"",I41)</f>
        <v>2.8.1</v>
      </c>
      <c r="M41" s="851" t="str">
        <f>IF(J41=0,"",J41)</f>
        <v>Расходы на текущий ремонт</v>
      </c>
      <c r="N41" s="851" t="str">
        <f>IF(K41=0,"",K41)</f>
        <v>Указываются расходы на текущий ремонт, отнесенные к общепроизводственным расходам.</v>
      </c>
      <c r="O41" s="964" t="s">
        <v>2251</v>
      </c>
      <c r="P41" s="964" t="s">
        <v>2238</v>
      </c>
      <c r="Q41" s="964" t="s">
        <v>2251</v>
      </c>
      <c r="R41" s="964" t="s">
        <v>2238</v>
      </c>
      <c r="S41" s="964"/>
      <c r="T41" s="850" t="s">
        <v>2252</v>
      </c>
      <c r="U41" s="850" t="s">
        <v>2252</v>
      </c>
      <c r="V41" s="850" t="s">
        <v>2252</v>
      </c>
      <c r="W41" s="850" t="s">
        <v>2252</v>
      </c>
      <c r="X41" s="850"/>
      <c r="Y41" s="1007"/>
      <c r="Z41" s="853" t="s">
        <v>2253</v>
      </c>
      <c r="AA41" s="853" t="s">
        <v>2253</v>
      </c>
      <c r="AB41" s="853" t="s">
        <v>2253</v>
      </c>
      <c r="AC41" s="853" t="s">
        <v>2253</v>
      </c>
      <c r="AD41" s="853"/>
    </row>
    <row customHeight="1" ht="27">
      <c r="A42" s="852"/>
      <c r="B42" s="906">
        <v>25</v>
      </c>
      <c r="C42" s="850" t="s">
        <v>2254</v>
      </c>
      <c r="D42" s="974"/>
      <c r="E42" s="850"/>
      <c r="F42" s="850"/>
      <c r="G42" s="850"/>
      <c r="H42" s="898"/>
      <c r="I42" s="1012" t="str">
        <f>INDEX(TEMPLATE_NUMBER_POINT_FHD,B42,MATCH(TEMPLATE_SPHERE,TEMPLATE_SPHERE_LIST_FOR_NOTE,0))</f>
        <v>2.8.2</v>
      </c>
      <c r="J42" s="1012" t="str">
        <f>INDEX(TEMPLATE_DATA_POINT_FHD,B42,MATCH(TEMPLATE_SPHERE,TEMPLATE_SPHERE_LIST_FOR_NOTE,0))</f>
        <v>Расходы на капитальный ремонт</v>
      </c>
      <c r="K42" s="1012" t="str">
        <f>INDEX(TEMPLATE_NOTE_POINT_FHD,B42,MATCH(TEMPLATE_SPHERE,TEMPLATE_SPHERE_LIST_FOR_NOTE,0))</f>
        <v>Указываются расходы на капитальный ремонт, отнесенные к общепроизводственным расходам.</v>
      </c>
      <c r="L42" s="851" t="str">
        <f>IF(I42=0,"",I42)</f>
        <v>2.8.2</v>
      </c>
      <c r="M42" s="851" t="str">
        <f>IF(J42=0,"",J42)</f>
        <v>Расходы на капитальный ремонт</v>
      </c>
      <c r="N42" s="851" t="str">
        <f>IF(K42=0,"",K42)</f>
        <v>Указываются расходы на капитальный ремонт, отнесенные к общепроизводственным расходам.</v>
      </c>
      <c r="O42" s="964" t="s">
        <v>2255</v>
      </c>
      <c r="P42" s="964" t="s">
        <v>2241</v>
      </c>
      <c r="Q42" s="964" t="s">
        <v>2255</v>
      </c>
      <c r="R42" s="964" t="s">
        <v>2241</v>
      </c>
      <c r="S42" s="964"/>
      <c r="T42" s="850" t="s">
        <v>2256</v>
      </c>
      <c r="U42" s="850" t="s">
        <v>2256</v>
      </c>
      <c r="V42" s="850" t="s">
        <v>2256</v>
      </c>
      <c r="W42" s="850" t="s">
        <v>2256</v>
      </c>
      <c r="X42" s="850"/>
      <c r="Y42" s="1007"/>
      <c r="Z42" s="853" t="s">
        <v>2257</v>
      </c>
      <c r="AA42" s="853" t="s">
        <v>2257</v>
      </c>
      <c r="AB42" s="853" t="s">
        <v>2257</v>
      </c>
      <c r="AC42" s="853" t="s">
        <v>2257</v>
      </c>
      <c r="AD42" s="853"/>
    </row>
    <row customHeight="1" ht="18">
      <c r="A43" s="852"/>
      <c r="B43" s="906">
        <v>26</v>
      </c>
      <c r="C43" s="850">
        <v>14</v>
      </c>
      <c r="D43" s="974"/>
      <c r="E43" s="850"/>
      <c r="F43" s="850"/>
      <c r="G43" s="850"/>
      <c r="H43" s="898"/>
      <c r="I43" s="1012" t="str">
        <f>INDEX(TEMPLATE_NUMBER_POINT_FHD,B43,MATCH(TEMPLATE_SPHERE,TEMPLATE_SPHERE_LIST_FOR_NOTE,0))</f>
        <v>2.9</v>
      </c>
      <c r="J43" s="1012" t="str">
        <f>INDEX(TEMPLATE_DATA_POINT_FHD,B43,MATCH(TEMPLATE_SPHERE,TEMPLATE_SPHERE_LIST_FOR_NOTE,0))</f>
        <v>Общехозяйственные расходы, в том числе:</v>
      </c>
      <c r="K43" s="1012" t="str">
        <f>INDEX(TEMPLATE_NOTE_POINT_FHD,B43,MATCH(TEMPLATE_SPHERE,TEMPLATE_SPHERE_LIST_FOR_NOTE,0))</f>
        <v>Указывается общая сумма общехозяйственных расходов.</v>
      </c>
      <c r="L43" s="851" t="str">
        <f>IF(I43=0,"",I43)</f>
        <v>2.9</v>
      </c>
      <c r="M43" s="851" t="str">
        <f>IF(J43=0,"",J43)</f>
        <v>Общехозяйственные расходы, в том числе:</v>
      </c>
      <c r="N43" s="851" t="str">
        <f>IF(K43=0,"",K43)</f>
        <v>Указывается общая сумма общехозяйственных расходов.</v>
      </c>
      <c r="O43" s="964" t="s">
        <v>2258</v>
      </c>
      <c r="P43" s="964" t="s">
        <v>907</v>
      </c>
      <c r="Q43" s="964" t="s">
        <v>2258</v>
      </c>
      <c r="R43" s="964" t="s">
        <v>907</v>
      </c>
      <c r="S43" s="964"/>
      <c r="T43" s="850" t="s">
        <v>2259</v>
      </c>
      <c r="U43" s="850" t="s">
        <v>2259</v>
      </c>
      <c r="V43" s="850" t="s">
        <v>2259</v>
      </c>
      <c r="W43" s="850" t="s">
        <v>2259</v>
      </c>
      <c r="X43" s="850"/>
      <c r="Y43" s="1007"/>
      <c r="Z43" s="853" t="s">
        <v>2260</v>
      </c>
      <c r="AA43" s="853" t="s">
        <v>2260</v>
      </c>
      <c r="AB43" s="853" t="s">
        <v>2260</v>
      </c>
      <c r="AC43" s="853" t="s">
        <v>2260</v>
      </c>
      <c r="AD43" s="853"/>
    </row>
    <row customHeight="1" ht="27">
      <c r="A44" s="852"/>
      <c r="B44" s="906">
        <v>27</v>
      </c>
      <c r="C44" s="850" t="s">
        <v>2261</v>
      </c>
      <c r="D44" s="974"/>
      <c r="E44" s="850"/>
      <c r="F44" s="850"/>
      <c r="G44" s="850"/>
      <c r="H44" s="898"/>
      <c r="I44" s="1012" t="str">
        <f>INDEX(TEMPLATE_NUMBER_POINT_FHD,B44,MATCH(TEMPLATE_SPHERE,TEMPLATE_SPHERE_LIST_FOR_NOTE,0))</f>
        <v>2.9.1</v>
      </c>
      <c r="J44" s="1012" t="str">
        <f>INDEX(TEMPLATE_DATA_POINT_FHD,B44,MATCH(TEMPLATE_SPHERE,TEMPLATE_SPHERE_LIST_FOR_NOTE,0))</f>
        <v>Расходы на текущий ремонт</v>
      </c>
      <c r="K44" s="1012" t="str">
        <f>INDEX(TEMPLATE_NOTE_POINT_FHD,B44,MATCH(TEMPLATE_SPHERE,TEMPLATE_SPHERE_LIST_FOR_NOTE,0))</f>
        <v>Указываются расходы на текущий ремонт, отнесенные к общехозяйственным расходам.</v>
      </c>
      <c r="L44" s="851" t="str">
        <f>IF(I44=0,"",I44)</f>
        <v>2.9.1</v>
      </c>
      <c r="M44" s="851" t="str">
        <f>IF(J44=0,"",J44)</f>
        <v>Расходы на текущий ремонт</v>
      </c>
      <c r="N44" s="851" t="str">
        <f>IF(K44=0,"",K44)</f>
        <v>Указываются расходы на текущий ремонт, отнесенные к общехозяйственным расходам.</v>
      </c>
      <c r="O44" s="964" t="s">
        <v>2262</v>
      </c>
      <c r="P44" s="964" t="s">
        <v>2263</v>
      </c>
      <c r="Q44" s="964" t="s">
        <v>2262</v>
      </c>
      <c r="R44" s="964" t="s">
        <v>2263</v>
      </c>
      <c r="S44" s="964"/>
      <c r="T44" s="850" t="s">
        <v>2252</v>
      </c>
      <c r="U44" s="850" t="s">
        <v>2252</v>
      </c>
      <c r="V44" s="850" t="s">
        <v>2252</v>
      </c>
      <c r="W44" s="850" t="s">
        <v>2252</v>
      </c>
      <c r="X44" s="850"/>
      <c r="Y44" s="1007"/>
      <c r="Z44" s="853" t="s">
        <v>2264</v>
      </c>
      <c r="AA44" s="853" t="s">
        <v>2264</v>
      </c>
      <c r="AB44" s="853" t="s">
        <v>2264</v>
      </c>
      <c r="AC44" s="853" t="s">
        <v>2264</v>
      </c>
      <c r="AD44" s="853"/>
    </row>
    <row customHeight="1" ht="27">
      <c r="A45" s="852"/>
      <c r="B45" s="906">
        <v>28</v>
      </c>
      <c r="C45" s="850" t="s">
        <v>2265</v>
      </c>
      <c r="D45" s="974"/>
      <c r="E45" s="850"/>
      <c r="F45" s="850"/>
      <c r="G45" s="850"/>
      <c r="H45" s="898"/>
      <c r="I45" s="1012" t="str">
        <f>INDEX(TEMPLATE_NUMBER_POINT_FHD,B45,MATCH(TEMPLATE_SPHERE,TEMPLATE_SPHERE_LIST_FOR_NOTE,0))</f>
        <v>2.9.2</v>
      </c>
      <c r="J45" s="1012" t="str">
        <f>INDEX(TEMPLATE_DATA_POINT_FHD,B45,MATCH(TEMPLATE_SPHERE,TEMPLATE_SPHERE_LIST_FOR_NOTE,0))</f>
        <v>Расходы на капитальный ремонт</v>
      </c>
      <c r="K45" s="1012" t="str">
        <f>INDEX(TEMPLATE_NOTE_POINT_FHD,B45,MATCH(TEMPLATE_SPHERE,TEMPLATE_SPHERE_LIST_FOR_NOTE,0))</f>
        <v>Указываются расходы на капитальный ремонт, отнесенные к общехозяйственным расходам.</v>
      </c>
      <c r="L45" s="851" t="str">
        <f>IF(I45=0,"",I45)</f>
        <v>2.9.2</v>
      </c>
      <c r="M45" s="851" t="str">
        <f>IF(J45=0,"",J45)</f>
        <v>Расходы на капитальный ремонт</v>
      </c>
      <c r="N45" s="851" t="str">
        <f>IF(K45=0,"",K45)</f>
        <v>Указываются расходы на капитальный ремонт, отнесенные к общехозяйственным расходам.</v>
      </c>
      <c r="O45" s="964" t="s">
        <v>2266</v>
      </c>
      <c r="P45" s="964" t="s">
        <v>2267</v>
      </c>
      <c r="Q45" s="964" t="s">
        <v>2266</v>
      </c>
      <c r="R45" s="964" t="s">
        <v>2267</v>
      </c>
      <c r="S45" s="964"/>
      <c r="T45" s="850" t="s">
        <v>2256</v>
      </c>
      <c r="U45" s="850" t="s">
        <v>2256</v>
      </c>
      <c r="V45" s="850" t="s">
        <v>2256</v>
      </c>
      <c r="W45" s="850" t="s">
        <v>2256</v>
      </c>
      <c r="X45" s="850"/>
      <c r="Y45" s="1007"/>
      <c r="Z45" s="853" t="s">
        <v>2268</v>
      </c>
      <c r="AA45" s="853" t="s">
        <v>2268</v>
      </c>
      <c r="AB45" s="853" t="s">
        <v>2268</v>
      </c>
      <c r="AC45" s="853" t="s">
        <v>2268</v>
      </c>
      <c r="AD45" s="853"/>
    </row>
    <row customHeight="1" ht="54">
      <c r="A46" s="852"/>
      <c r="B46" s="906">
        <v>29</v>
      </c>
      <c r="C46" s="850">
        <v>15</v>
      </c>
      <c r="D46" s="974"/>
      <c r="E46" s="850"/>
      <c r="F46" s="850"/>
      <c r="G46" s="850"/>
      <c r="H46" s="898"/>
      <c r="I46" s="1012" t="str">
        <f>INDEX(TEMPLATE_NUMBER_POINT_FHD,B46,MATCH(TEMPLATE_SPHERE,TEMPLATE_SPHERE_LIST_FOR_NOTE,0))</f>
        <v>2.10</v>
      </c>
      <c r="J46" s="1012" t="str">
        <f>INDEX(TEMPLATE_DATA_POINT_FHD,B46,MATCH(TEMPLATE_SPHERE,TEMPLATE_SPHERE_LIST_FOR_NOTE,0))</f>
        <v>Расходы на капитальный и текущий ремонт основных средств</v>
      </c>
      <c r="K46" s="1012"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1" t="str">
        <f>IF(I46=0,"",I46)</f>
        <v>2.10</v>
      </c>
      <c r="M46" s="851" t="str">
        <f>IF(J46=0,"",J46)</f>
        <v>Расходы на капитальный и текущий ремонт основных средств</v>
      </c>
      <c r="N46" s="851"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64" t="s">
        <v>2269</v>
      </c>
      <c r="P46" s="964" t="s">
        <v>2247</v>
      </c>
      <c r="Q46" s="964" t="s">
        <v>2269</v>
      </c>
      <c r="R46" s="964" t="s">
        <v>2247</v>
      </c>
      <c r="S46" s="964"/>
      <c r="T46" s="851"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50" t="s">
        <v>2270</v>
      </c>
      <c r="V46" s="850" t="s">
        <v>2270</v>
      </c>
      <c r="W46" s="850" t="s">
        <v>2270</v>
      </c>
      <c r="X46" s="850"/>
      <c r="Y46" s="1007"/>
      <c r="Z46" s="853" t="s">
        <v>2271</v>
      </c>
      <c r="AA46" s="853" t="s">
        <v>2272</v>
      </c>
      <c r="AB46" s="853" t="s">
        <v>2272</v>
      </c>
      <c r="AC46" s="853" t="s">
        <v>2272</v>
      </c>
      <c r="AD46" s="853"/>
    </row>
    <row customHeight="1" ht="54">
      <c r="A47" s="852"/>
      <c r="B47" s="906">
        <v>30</v>
      </c>
      <c r="C47" s="850" t="s">
        <v>2273</v>
      </c>
      <c r="D47" s="974"/>
      <c r="E47" s="850"/>
      <c r="F47" s="850"/>
      <c r="G47" s="850"/>
      <c r="H47" s="898"/>
      <c r="I47" s="1012" t="str">
        <f>INDEX(TEMPLATE_NUMBER_POINT_FHD,B47,MATCH(TEMPLATE_SPHERE,TEMPLATE_SPHERE_LIST_FOR_NOTE,0))</f>
        <v>2.10.1</v>
      </c>
      <c r="J47" s="1012"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2">
        <f>INDEX(TEMPLATE_NOTE_POINT_FHD,B47,MATCH(TEMPLATE_SPHERE,TEMPLATE_SPHERE_LIST_FOR_NOTE,0))</f>
        <v>0</v>
      </c>
      <c r="L47" s="851" t="str">
        <f>IF(I47=0,"",I47)</f>
        <v>2.10.1</v>
      </c>
      <c r="M47" s="851"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1" t="str">
        <f>IF(K47=0,"",K47)</f>
        <v/>
      </c>
      <c r="O47" s="964" t="s">
        <v>2274</v>
      </c>
      <c r="P47" s="964" t="s">
        <v>2251</v>
      </c>
      <c r="Q47" s="964" t="s">
        <v>2274</v>
      </c>
      <c r="R47" s="964" t="s">
        <v>2251</v>
      </c>
      <c r="S47" s="964"/>
      <c r="T47" s="850" t="s">
        <v>2275</v>
      </c>
      <c r="U47" s="850" t="s">
        <v>2275</v>
      </c>
      <c r="V47" s="850" t="s">
        <v>2275</v>
      </c>
      <c r="W47" s="850" t="s">
        <v>2275</v>
      </c>
      <c r="X47" s="850"/>
      <c r="Y47" s="1007"/>
      <c r="Z47" s="853"/>
      <c r="AA47" s="856"/>
      <c r="AB47" s="856"/>
      <c r="AC47" s="856"/>
      <c r="AD47" s="853"/>
    </row>
    <row customHeight="1" ht="54">
      <c r="A48" s="852"/>
      <c r="B48" s="906">
        <v>31</v>
      </c>
      <c r="C48" s="850">
        <v>16</v>
      </c>
      <c r="D48" s="974"/>
      <c r="E48" s="850"/>
      <c r="F48" s="850"/>
      <c r="G48" s="850"/>
      <c r="H48" s="898"/>
      <c r="I48" s="1012" t="str">
        <f>INDEX(TEMPLATE_NUMBER_POINT_FHD,B48,MATCH(TEMPLATE_SPHERE,TEMPLATE_SPHERE_LIST_FOR_NOTE,0))</f>
        <v>2.11</v>
      </c>
      <c r="J48" s="1012"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12"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51" t="str">
        <f>IF(I48=0,"",I48)</f>
        <v>2.11</v>
      </c>
      <c r="M48" s="851"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51"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64"/>
      <c r="P48" s="964" t="s">
        <v>2258</v>
      </c>
      <c r="Q48" s="964" t="s">
        <v>2276</v>
      </c>
      <c r="R48" s="964" t="s">
        <v>2258</v>
      </c>
      <c r="S48" s="964"/>
      <c r="T48" s="850"/>
      <c r="U48" s="850" t="s">
        <v>2277</v>
      </c>
      <c r="V48" s="850" t="s">
        <v>2278</v>
      </c>
      <c r="W48" s="850" t="s">
        <v>2278</v>
      </c>
      <c r="X48" s="850"/>
      <c r="Y48" s="1007"/>
      <c r="Z48" s="853"/>
      <c r="AA48" s="856" t="s">
        <v>2272</v>
      </c>
      <c r="AB48" s="856" t="s">
        <v>2272</v>
      </c>
      <c r="AC48" s="856" t="s">
        <v>2272</v>
      </c>
      <c r="AD48" s="853"/>
    </row>
    <row customHeight="1" ht="54">
      <c r="A49" s="852"/>
      <c r="B49" s="906">
        <v>32</v>
      </c>
      <c r="C49" s="850" t="s">
        <v>2279</v>
      </c>
      <c r="D49" s="974"/>
      <c r="E49" s="850"/>
      <c r="F49" s="850"/>
      <c r="G49" s="850"/>
      <c r="H49" s="898"/>
      <c r="I49" s="1012" t="str">
        <f>INDEX(TEMPLATE_NUMBER_POINT_FHD,B49,MATCH(TEMPLATE_SPHERE,TEMPLATE_SPHERE_LIST_FOR_NOTE,0))</f>
        <v>2.11.1</v>
      </c>
      <c r="J49" s="1012"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12">
        <f>INDEX(TEMPLATE_NOTE_POINT_FHD,B49,MATCH(TEMPLATE_SPHERE,TEMPLATE_SPHERE_LIST_FOR_NOTE,0))</f>
        <v>0</v>
      </c>
      <c r="L49" s="851" t="str">
        <f>IF(I49=0,"",I49)</f>
        <v>2.11.1</v>
      </c>
      <c r="M49" s="851"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51" t="str">
        <f>IF(K49=0,"",K49)</f>
        <v/>
      </c>
      <c r="O49" s="964"/>
      <c r="P49" s="964" t="s">
        <v>2262</v>
      </c>
      <c r="Q49" s="964" t="s">
        <v>2280</v>
      </c>
      <c r="R49" s="964" t="s">
        <v>2262</v>
      </c>
      <c r="S49" s="964"/>
      <c r="T49" s="850"/>
      <c r="U49" s="850" t="s">
        <v>2275</v>
      </c>
      <c r="V49" s="850" t="s">
        <v>2275</v>
      </c>
      <c r="W49" s="850" t="s">
        <v>2275</v>
      </c>
      <c r="X49" s="850"/>
      <c r="Y49" s="1007"/>
      <c r="Z49" s="853"/>
      <c r="AA49" s="856"/>
      <c r="AB49" s="856"/>
      <c r="AC49" s="856"/>
      <c r="AD49" s="853"/>
    </row>
    <row customHeight="1" ht="126">
      <c r="A50" s="852"/>
      <c r="B50" s="906">
        <v>33</v>
      </c>
      <c r="C50" s="850">
        <v>17</v>
      </c>
      <c r="D50" s="974"/>
      <c r="E50" s="850"/>
      <c r="F50" s="850"/>
      <c r="G50" s="850"/>
      <c r="H50" s="898"/>
      <c r="I50" s="1012" t="str">
        <f>INDEX(TEMPLATE_NUMBER_POINT_FHD,B50,MATCH(TEMPLATE_SPHERE,TEMPLATE_SPHERE_LIST_FOR_NOTE,0))</f>
        <v>2.12</v>
      </c>
      <c r="J50" s="1012"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12"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51" t="str">
        <f>IF(I50=0,"",I50)</f>
        <v>2.12</v>
      </c>
      <c r="M50" s="851"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51"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64" t="s">
        <v>2276</v>
      </c>
      <c r="P50" s="964" t="s">
        <v>2269</v>
      </c>
      <c r="Q50" s="964" t="s">
        <v>2281</v>
      </c>
      <c r="R50" s="964" t="s">
        <v>2269</v>
      </c>
      <c r="S50" s="964"/>
      <c r="T50" s="850" t="s">
        <v>2282</v>
      </c>
      <c r="U50" s="850" t="s">
        <v>2283</v>
      </c>
      <c r="V50" s="850" t="s">
        <v>2284</v>
      </c>
      <c r="W50" s="850" t="s">
        <v>2285</v>
      </c>
      <c r="X50" s="850"/>
      <c r="Y50" s="1007"/>
      <c r="Z50" s="853" t="s">
        <v>2286</v>
      </c>
      <c r="AA50" s="856" t="s">
        <v>2287</v>
      </c>
      <c r="AB50" s="856" t="s">
        <v>2287</v>
      </c>
      <c r="AC50" s="856" t="s">
        <v>2287</v>
      </c>
      <c r="AD50" s="853"/>
    </row>
    <row customHeight="1" ht="27">
      <c r="A51" s="852"/>
      <c r="B51" s="906">
        <v>34</v>
      </c>
      <c r="C51" s="850" t="s">
        <v>2288</v>
      </c>
      <c r="D51" s="974"/>
      <c r="E51" s="850"/>
      <c r="F51" s="850"/>
      <c r="G51" s="850"/>
      <c r="H51" s="898"/>
      <c r="I51" s="1012">
        <f>INDEX(TEMPLATE_NUMBER_POINT_FHD,B51,MATCH(TEMPLATE_SPHERE,TEMPLATE_SPHERE_LIST_FOR_NOTE,0))</f>
        <v>0</v>
      </c>
      <c r="J51" s="1012">
        <f>INDEX(TEMPLATE_DATA_POINT_FHD,B51,MATCH(TEMPLATE_SPHERE,TEMPLATE_SPHERE_LIST_FOR_NOTE,0))</f>
        <v>0</v>
      </c>
      <c r="K51" s="1012">
        <f>INDEX(TEMPLATE_NOTE_POINT_FHD,B51,MATCH(TEMPLATE_SPHERE,TEMPLATE_SPHERE_LIST_FOR_NOTE,0))</f>
        <v>0</v>
      </c>
      <c r="L51" s="851" t="str">
        <f>IF(I51=0,"",I51)</f>
        <v/>
      </c>
      <c r="M51" s="851" t="str">
        <f>IF(J51=0,"",J51)</f>
        <v/>
      </c>
      <c r="N51" s="851" t="str">
        <f>IF(K51=0,"",K51)</f>
        <v/>
      </c>
      <c r="O51" s="964" t="s">
        <v>90</v>
      </c>
      <c r="P51" s="964"/>
      <c r="Q51" s="964"/>
      <c r="R51" s="964"/>
      <c r="S51" s="964"/>
      <c r="T51" s="850" t="s">
        <v>2289</v>
      </c>
      <c r="U51" s="850"/>
      <c r="V51" s="850"/>
      <c r="W51" s="850"/>
      <c r="X51" s="850"/>
      <c r="Y51" s="1007"/>
      <c r="Z51" s="853"/>
      <c r="AA51" s="856"/>
      <c r="AB51" s="856"/>
      <c r="AC51" s="856"/>
      <c r="AD51" s="853"/>
    </row>
    <row customHeight="1" ht="36">
      <c r="A52" s="852"/>
      <c r="B52" s="906">
        <v>35</v>
      </c>
      <c r="C52" s="850" t="s">
        <v>2182</v>
      </c>
      <c r="D52" s="974" t="s">
        <v>2182</v>
      </c>
      <c r="E52" s="850" t="s">
        <v>2182</v>
      </c>
      <c r="F52" s="850" t="s">
        <v>2182</v>
      </c>
      <c r="G52" s="850"/>
      <c r="H52" s="898"/>
      <c r="I52" s="1012" t="str">
        <f>INDEX(TEMPLATE_NUMBER_POINT_FHD,B52,MATCH(TEMPLATE_SPHERE,TEMPLATE_SPHERE_LIST_FOR_NOTE,0))</f>
        <v>3</v>
      </c>
      <c r="J52" s="1012"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12" t="str">
        <f>INDEX(TEMPLATE_NOTE_POINT_FHD,B52,MATCH(TEMPLATE_SPHERE,TEMPLATE_SPHERE_LIST_FOR_NOTE,0))</f>
        <v>Указывается общая сумма чистой прибыли, полученной от регулируемого вида деятельности.</v>
      </c>
      <c r="L52" s="851" t="str">
        <f>IF(I52=0,"",I52)</f>
        <v>3</v>
      </c>
      <c r="M52" s="851" t="str">
        <f>IF(J52=0,"",J52)</f>
        <v>Чистая прибыль, полученная от регулируемого вида деятельности в сфере холодного водоснабжения, в том числе:</v>
      </c>
      <c r="N52" s="851" t="str">
        <f>IF(K52=0,"",K52)</f>
        <v>Указывается общая сумма чистой прибыли, полученной от регулируемого вида деятельности.</v>
      </c>
      <c r="O52" s="964" t="s">
        <v>91</v>
      </c>
      <c r="P52" s="964" t="s">
        <v>90</v>
      </c>
      <c r="Q52" s="964" t="s">
        <v>90</v>
      </c>
      <c r="R52" s="964" t="s">
        <v>90</v>
      </c>
      <c r="S52" s="964"/>
      <c r="T52" s="850" t="s">
        <v>2290</v>
      </c>
      <c r="U52" s="850" t="s">
        <v>2291</v>
      </c>
      <c r="V52" s="850" t="s">
        <v>2292</v>
      </c>
      <c r="W52" s="850" t="s">
        <v>2293</v>
      </c>
      <c r="X52" s="850"/>
      <c r="Y52" s="1007"/>
      <c r="Z52" s="853" t="s">
        <v>911</v>
      </c>
      <c r="AA52" s="856" t="s">
        <v>911</v>
      </c>
      <c r="AB52" s="856" t="s">
        <v>911</v>
      </c>
      <c r="AC52" s="856" t="s">
        <v>911</v>
      </c>
      <c r="AD52" s="853"/>
    </row>
    <row customHeight="1" ht="36">
      <c r="A53" s="852"/>
      <c r="B53" s="906">
        <v>36</v>
      </c>
      <c r="C53" s="850">
        <v>1</v>
      </c>
      <c r="D53" s="974"/>
      <c r="E53" s="850"/>
      <c r="F53" s="850"/>
      <c r="G53" s="850"/>
      <c r="H53" s="898"/>
      <c r="I53" s="1012" t="str">
        <f>INDEX(TEMPLATE_NUMBER_POINT_FHD,B53,MATCH(TEMPLATE_SPHERE,TEMPLATE_SPHERE_LIST_FOR_NOTE,0))</f>
        <v>3.1</v>
      </c>
      <c r="J53" s="1012"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2">
        <f>INDEX(TEMPLATE_NOTE_POINT_FHD,B53,MATCH(TEMPLATE_SPHERE,TEMPLATE_SPHERE_LIST_FOR_NOTE,0))</f>
        <v>0</v>
      </c>
      <c r="L53" s="851" t="str">
        <f>IF(I53=0,"",I53)</f>
        <v>3.1</v>
      </c>
      <c r="M53" s="851"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1" t="str">
        <f>IF(K53=0,"",K53)</f>
        <v/>
      </c>
      <c r="O53" s="964" t="s">
        <v>915</v>
      </c>
      <c r="P53" s="964" t="s">
        <v>487</v>
      </c>
      <c r="Q53" s="964" t="s">
        <v>487</v>
      </c>
      <c r="R53" s="964" t="s">
        <v>487</v>
      </c>
      <c r="S53" s="964"/>
      <c r="T53" s="850" t="s">
        <v>2294</v>
      </c>
      <c r="U53" s="850" t="s">
        <v>2294</v>
      </c>
      <c r="V53" s="850" t="s">
        <v>2294</v>
      </c>
      <c r="W53" s="850" t="s">
        <v>2294</v>
      </c>
      <c r="X53" s="850"/>
      <c r="Y53" s="1007"/>
      <c r="Z53" s="853"/>
      <c r="AA53" s="856"/>
      <c r="AB53" s="853"/>
      <c r="AC53" s="853"/>
      <c r="AD53" s="853"/>
    </row>
    <row customHeight="1" ht="18">
      <c r="A54" s="852"/>
      <c r="B54" s="906">
        <v>37</v>
      </c>
      <c r="C54" s="850" t="s">
        <v>2188</v>
      </c>
      <c r="D54" s="974" t="s">
        <v>2188</v>
      </c>
      <c r="E54" s="850" t="s">
        <v>2188</v>
      </c>
      <c r="F54" s="850" t="s">
        <v>2188</v>
      </c>
      <c r="G54" s="850"/>
      <c r="H54" s="898"/>
      <c r="I54" s="1012" t="str">
        <f>INDEX(TEMPLATE_NUMBER_POINT_FHD,B54,MATCH(TEMPLATE_SPHERE,TEMPLATE_SPHERE_LIST_FOR_NOTE,0))</f>
        <v>4</v>
      </c>
      <c r="J54" s="1012" t="str">
        <f>INDEX(TEMPLATE_DATA_POINT_FHD,B54,MATCH(TEMPLATE_SPHERE,TEMPLATE_SPHERE_LIST_FOR_NOTE,0))</f>
        <v>Изменение стоимости основных фондов, в том числе:</v>
      </c>
      <c r="K54" s="1012" t="str">
        <f>INDEX(TEMPLATE_NOTE_POINT_FHD,B54,MATCH(TEMPLATE_SPHERE,TEMPLATE_SPHERE_LIST_FOR_NOTE,0))</f>
        <v>Указывается общее изменение стоимости основных фондов.</v>
      </c>
      <c r="L54" s="851" t="str">
        <f>IF(I54=0,"",I54)</f>
        <v>4</v>
      </c>
      <c r="M54" s="851" t="str">
        <f>IF(J54=0,"",J54)</f>
        <v>Изменение стоимости основных фондов, в том числе:</v>
      </c>
      <c r="N54" s="851" t="str">
        <f>IF(K54=0,"",K54)</f>
        <v>Указывается общее изменение стоимости основных фондов.</v>
      </c>
      <c r="O54" s="964" t="s">
        <v>119</v>
      </c>
      <c r="P54" s="964" t="s">
        <v>91</v>
      </c>
      <c r="Q54" s="964" t="s">
        <v>91</v>
      </c>
      <c r="R54" s="964" t="s">
        <v>91</v>
      </c>
      <c r="S54" s="964"/>
      <c r="T54" s="850" t="s">
        <v>913</v>
      </c>
      <c r="U54" s="850" t="s">
        <v>913</v>
      </c>
      <c r="V54" s="850" t="s">
        <v>913</v>
      </c>
      <c r="W54" s="850" t="s">
        <v>913</v>
      </c>
      <c r="X54" s="850"/>
      <c r="Y54" s="1007"/>
      <c r="Z54" s="853" t="s">
        <v>914</v>
      </c>
      <c r="AA54" s="853" t="s">
        <v>914</v>
      </c>
      <c r="AB54" s="853" t="s">
        <v>914</v>
      </c>
      <c r="AC54" s="853" t="s">
        <v>914</v>
      </c>
      <c r="AD54" s="853"/>
    </row>
    <row customHeight="1" ht="36">
      <c r="A55" s="852"/>
      <c r="B55" s="906">
        <v>38</v>
      </c>
      <c r="C55" s="850">
        <v>1</v>
      </c>
      <c r="D55" s="974"/>
      <c r="E55" s="850"/>
      <c r="F55" s="850"/>
      <c r="G55" s="850"/>
      <c r="H55" s="898"/>
      <c r="I55" s="1012" t="str">
        <f>INDEX(TEMPLATE_NUMBER_POINT_FHD,B55,MATCH(TEMPLATE_SPHERE,TEMPLATE_SPHERE_LIST_FOR_NOTE,0))</f>
        <v>4.1</v>
      </c>
      <c r="J55" s="1012" t="str">
        <f>INDEX(TEMPLATE_DATA_POINT_FHD,B55,MATCH(TEMPLATE_SPHERE,TEMPLATE_SPHERE_LIST_FOR_NOTE,0))</f>
        <v>Изменение стоимости основных фондов за счет их ввода в эксплуатацию (вывода из эксплуатации)</v>
      </c>
      <c r="K55" s="1012"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1" t="str">
        <f>IF(I55=0,"",I55)</f>
        <v>4.1</v>
      </c>
      <c r="M55" s="851" t="str">
        <f>IF(J55=0,"",J55)</f>
        <v>Изменение стоимости основных фондов за счет их ввода в эксплуатацию (вывода из эксплуатации)</v>
      </c>
      <c r="N55" s="851" t="str">
        <f>IF(K55=0,"",K55)</f>
        <v>Указываются общее изменение стоимости основных фондов за счет их ввода в эксплуатацию и вывода из эксплуатации.</v>
      </c>
      <c r="O55" s="964" t="s">
        <v>476</v>
      </c>
      <c r="P55" s="964" t="s">
        <v>915</v>
      </c>
      <c r="Q55" s="964" t="s">
        <v>915</v>
      </c>
      <c r="R55" s="964" t="s">
        <v>915</v>
      </c>
      <c r="S55" s="964"/>
      <c r="T55" s="851"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50" t="s">
        <v>2295</v>
      </c>
      <c r="V55" s="850" t="s">
        <v>2295</v>
      </c>
      <c r="W55" s="850" t="s">
        <v>2295</v>
      </c>
      <c r="X55" s="850"/>
      <c r="Y55" s="1007"/>
      <c r="Z55" s="853" t="s">
        <v>2296</v>
      </c>
      <c r="AA55" s="853" t="s">
        <v>2296</v>
      </c>
      <c r="AB55" s="853" t="s">
        <v>2296</v>
      </c>
      <c r="AC55" s="853" t="s">
        <v>2296</v>
      </c>
      <c r="AD55" s="853"/>
    </row>
    <row customHeight="1" ht="27">
      <c r="A56" s="852"/>
      <c r="B56" s="906">
        <v>39</v>
      </c>
      <c r="C56" s="850" t="s">
        <v>1183</v>
      </c>
      <c r="D56" s="974"/>
      <c r="E56" s="850"/>
      <c r="F56" s="850"/>
      <c r="G56" s="850"/>
      <c r="H56" s="898"/>
      <c r="I56" s="1012" t="str">
        <f>INDEX(TEMPLATE_NUMBER_POINT_FHD,B56,MATCH(TEMPLATE_SPHERE,TEMPLATE_SPHERE_LIST_FOR_NOTE,0))</f>
        <v>4.1.1</v>
      </c>
      <c r="J56" s="1012" t="str">
        <f>INDEX(TEMPLATE_DATA_POINT_FHD,B56,MATCH(TEMPLATE_SPHERE,TEMPLATE_SPHERE_LIST_FOR_NOTE,0))</f>
        <v>Изменение стоимости основных фондов за счет их ввода в эксплуатацию</v>
      </c>
      <c r="K56" s="1012" t="str">
        <f>INDEX(TEMPLATE_NOTE_POINT_FHD,B56,MATCH(TEMPLATE_SPHERE,TEMPLATE_SPHERE_LIST_FOR_NOTE,0))</f>
        <v>Указываются изменение стоимости основных фондов за счет их ввода в эксплуатацию.</v>
      </c>
      <c r="L56" s="851" t="str">
        <f>IF(I56=0,"",I56)</f>
        <v>4.1.1</v>
      </c>
      <c r="M56" s="851" t="str">
        <f>IF(J56=0,"",J56)</f>
        <v>Изменение стоимости основных фондов за счет их ввода в эксплуатацию</v>
      </c>
      <c r="N56" s="851" t="str">
        <f>IF(K56=0,"",K56)</f>
        <v>Указываются изменение стоимости основных фондов за счет их ввода в эксплуатацию.</v>
      </c>
      <c r="O56" s="964" t="s">
        <v>1300</v>
      </c>
      <c r="P56" s="964" t="s">
        <v>918</v>
      </c>
      <c r="Q56" s="964" t="s">
        <v>918</v>
      </c>
      <c r="R56" s="964" t="s">
        <v>918</v>
      </c>
      <c r="S56" s="964"/>
      <c r="T56" s="851"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50" t="s">
        <v>2297</v>
      </c>
      <c r="V56" s="850" t="s">
        <v>2297</v>
      </c>
      <c r="W56" s="850" t="s">
        <v>2297</v>
      </c>
      <c r="X56" s="850"/>
      <c r="Y56" s="1007"/>
      <c r="Z56" s="853" t="s">
        <v>920</v>
      </c>
      <c r="AA56" s="853" t="s">
        <v>920</v>
      </c>
      <c r="AB56" s="853" t="s">
        <v>920</v>
      </c>
      <c r="AC56" s="853" t="s">
        <v>920</v>
      </c>
      <c r="AD56" s="853"/>
    </row>
    <row customHeight="1" ht="27">
      <c r="A57" s="852"/>
      <c r="B57" s="906">
        <v>40</v>
      </c>
      <c r="C57" s="850" t="s">
        <v>1185</v>
      </c>
      <c r="D57" s="974"/>
      <c r="E57" s="850"/>
      <c r="F57" s="850"/>
      <c r="G57" s="850"/>
      <c r="H57" s="898"/>
      <c r="I57" s="1012" t="str">
        <f>INDEX(TEMPLATE_NUMBER_POINT_FHD,B57,MATCH(TEMPLATE_SPHERE,TEMPLATE_SPHERE_LIST_FOR_NOTE,0))</f>
        <v>4.1.2</v>
      </c>
      <c r="J57" s="1012" t="str">
        <f>INDEX(TEMPLATE_DATA_POINT_FHD,B57,MATCH(TEMPLATE_SPHERE,TEMPLATE_SPHERE_LIST_FOR_NOTE,0))</f>
        <v>Изменение стоимости основных фондов за счет их вывода в эксплуатацию</v>
      </c>
      <c r="K57" s="1012" t="str">
        <f>INDEX(TEMPLATE_NOTE_POINT_FHD,B57,MATCH(TEMPLATE_SPHERE,TEMPLATE_SPHERE_LIST_FOR_NOTE,0))</f>
        <v>Указываются изменение стоимости основных фондов за счет их вывода из эксплуатации.</v>
      </c>
      <c r="L57" s="851" t="str">
        <f>IF(I57=0,"",I57)</f>
        <v>4.1.2</v>
      </c>
      <c r="M57" s="851" t="str">
        <f>IF(J57=0,"",J57)</f>
        <v>Изменение стоимости основных фондов за счет их вывода в эксплуатацию</v>
      </c>
      <c r="N57" s="851" t="str">
        <f>IF(K57=0,"",K57)</f>
        <v>Указываются изменение стоимости основных фондов за счет их вывода из эксплуатации.</v>
      </c>
      <c r="O57" s="964" t="s">
        <v>2298</v>
      </c>
      <c r="P57" s="964" t="s">
        <v>921</v>
      </c>
      <c r="Q57" s="964" t="s">
        <v>921</v>
      </c>
      <c r="R57" s="964" t="s">
        <v>921</v>
      </c>
      <c r="S57" s="964"/>
      <c r="T57" s="851"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50" t="s">
        <v>2299</v>
      </c>
      <c r="V57" s="850" t="s">
        <v>2299</v>
      </c>
      <c r="W57" s="850" t="s">
        <v>2299</v>
      </c>
      <c r="X57" s="850"/>
      <c r="Y57" s="1007"/>
      <c r="Z57" s="853" t="s">
        <v>923</v>
      </c>
      <c r="AA57" s="853" t="s">
        <v>923</v>
      </c>
      <c r="AB57" s="853" t="s">
        <v>923</v>
      </c>
      <c r="AC57" s="853" t="s">
        <v>923</v>
      </c>
      <c r="AD57" s="853"/>
    </row>
    <row customHeight="1" ht="18">
      <c r="A58" s="852"/>
      <c r="B58" s="906">
        <v>41</v>
      </c>
      <c r="C58" s="850">
        <v>2</v>
      </c>
      <c r="D58" s="974"/>
      <c r="E58" s="850"/>
      <c r="F58" s="850"/>
      <c r="G58" s="850"/>
      <c r="H58" s="898"/>
      <c r="I58" s="1012" t="str">
        <f>INDEX(TEMPLATE_NUMBER_POINT_FHD,B58,MATCH(TEMPLATE_SPHERE,TEMPLATE_SPHERE_LIST_FOR_NOTE,0))</f>
        <v>4.2</v>
      </c>
      <c r="J58" s="1012" t="str">
        <f>INDEX(TEMPLATE_DATA_POINT_FHD,B58,MATCH(TEMPLATE_SPHERE,TEMPLATE_SPHERE_LIST_FOR_NOTE,0))</f>
        <v>Изменение стоимости основных фондов за счет их переоценки</v>
      </c>
      <c r="K58" s="1012">
        <f>INDEX(TEMPLATE_NOTE_POINT_FHD,B58,MATCH(TEMPLATE_SPHERE,TEMPLATE_SPHERE_LIST_FOR_NOTE,0))</f>
        <v>0</v>
      </c>
      <c r="L58" s="851" t="str">
        <f>IF(I58=0,"",I58)</f>
        <v>4.2</v>
      </c>
      <c r="M58" s="851" t="str">
        <f>IF(J58=0,"",J58)</f>
        <v>Изменение стоимости основных фондов за счет их переоценки</v>
      </c>
      <c r="N58" s="851" t="str">
        <f>IF(K58=0,"",K58)</f>
        <v/>
      </c>
      <c r="O58" s="964" t="s">
        <v>1043</v>
      </c>
      <c r="P58" s="964" t="s">
        <v>957</v>
      </c>
      <c r="Q58" s="964" t="s">
        <v>957</v>
      </c>
      <c r="R58" s="964" t="s">
        <v>957</v>
      </c>
      <c r="S58" s="964"/>
      <c r="T58" s="851" t="str">
        <f>IF(TITLE_TYPE_ORG="Регулируемая организация","Изменение стоимости основных фондов за счет их переоценки","за счет их переоценки")</f>
        <v>за счет их переоценки</v>
      </c>
      <c r="U58" s="850" t="s">
        <v>2300</v>
      </c>
      <c r="V58" s="850" t="s">
        <v>2300</v>
      </c>
      <c r="W58" s="850" t="s">
        <v>2300</v>
      </c>
      <c r="X58" s="850"/>
      <c r="Y58" s="1007"/>
      <c r="Z58" s="853"/>
      <c r="AA58" s="856"/>
      <c r="AB58" s="853"/>
      <c r="AC58" s="853"/>
      <c r="AD58" s="853"/>
    </row>
    <row customHeight="1" ht="36">
      <c r="A59" s="852"/>
      <c r="B59" s="906">
        <v>42</v>
      </c>
      <c r="C59" s="850">
        <v>3</v>
      </c>
      <c r="D59" s="974" t="s">
        <v>2288</v>
      </c>
      <c r="E59" s="850" t="s">
        <v>2288</v>
      </c>
      <c r="F59" s="850" t="s">
        <v>2288</v>
      </c>
      <c r="G59" s="850"/>
      <c r="H59" s="898"/>
      <c r="I59" s="1012" t="str">
        <f>INDEX(TEMPLATE_NUMBER_POINT_FHD,B59,MATCH(TEMPLATE_SPHERE,TEMPLATE_SPHERE_LIST_FOR_NOTE,0))</f>
        <v>5</v>
      </c>
      <c r="J59" s="1012"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12">
        <f>INDEX(TEMPLATE_NOTE_POINT_FHD,B59,MATCH(TEMPLATE_SPHERE,TEMPLATE_SPHERE_LIST_FOR_NOTE,0))</f>
        <v>0</v>
      </c>
      <c r="L59" s="851" t="str">
        <f>IF(I59=0,"",I59)</f>
        <v>5</v>
      </c>
      <c r="M59" s="851" t="str">
        <f>IF(J59=0,"",J59)</f>
        <v>Валовая прибыль (убытки) от продажи товаров и услуг по регулируемым видам деятельности в сфере холодного водоснабжения</v>
      </c>
      <c r="N59" s="851" t="str">
        <f>IF(K59=0,"",K59)</f>
        <v/>
      </c>
      <c r="O59" s="964"/>
      <c r="P59" s="964" t="s">
        <v>119</v>
      </c>
      <c r="Q59" s="964" t="s">
        <v>119</v>
      </c>
      <c r="R59" s="964" t="s">
        <v>119</v>
      </c>
      <c r="S59" s="964"/>
      <c r="T59" s="850"/>
      <c r="U59" s="850" t="s">
        <v>2301</v>
      </c>
      <c r="V59" s="850" t="s">
        <v>2302</v>
      </c>
      <c r="W59" s="850" t="s">
        <v>2303</v>
      </c>
      <c r="X59" s="850"/>
      <c r="Y59" s="1007"/>
      <c r="Z59" s="853"/>
      <c r="AA59" s="856"/>
      <c r="AB59" s="853"/>
      <c r="AC59" s="853"/>
      <c r="AD59" s="853"/>
    </row>
    <row customHeight="1" ht="81">
      <c r="A60" s="852"/>
      <c r="B60" s="906">
        <v>43</v>
      </c>
      <c r="C60" s="850" t="s">
        <v>2304</v>
      </c>
      <c r="D60" s="974" t="s">
        <v>2304</v>
      </c>
      <c r="E60" s="850" t="s">
        <v>2304</v>
      </c>
      <c r="F60" s="850" t="s">
        <v>2304</v>
      </c>
      <c r="G60" s="850"/>
      <c r="H60" s="898"/>
      <c r="I60" s="1012" t="str">
        <f>INDEX(TEMPLATE_NUMBER_POINT_FHD,B60,MATCH(TEMPLATE_SPHERE,TEMPLATE_SPHERE_LIST_FOR_NOTE,0))</f>
        <v>6</v>
      </c>
      <c r="J60" s="1012"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2"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51" t="str">
        <f>IF(I60=0,"",I60)</f>
        <v>6</v>
      </c>
      <c r="M60" s="851" t="str">
        <f>IF(J60=0,"",J60)</f>
        <v>Годовая бухгалтерская (финансовая) отчетность, включая бухгалтерский баланс и приложения к нему</v>
      </c>
      <c r="N60" s="851"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64" t="s">
        <v>92</v>
      </c>
      <c r="P60" s="964" t="s">
        <v>92</v>
      </c>
      <c r="Q60" s="964" t="s">
        <v>92</v>
      </c>
      <c r="R60" s="964" t="s">
        <v>92</v>
      </c>
      <c r="S60" s="964"/>
      <c r="T60" s="850" t="s">
        <v>791</v>
      </c>
      <c r="U60" s="850" t="s">
        <v>791</v>
      </c>
      <c r="V60" s="850" t="s">
        <v>791</v>
      </c>
      <c r="W60" s="850" t="s">
        <v>791</v>
      </c>
      <c r="X60" s="850"/>
      <c r="Y60" s="1007"/>
      <c r="Z60" s="853" t="s">
        <v>2305</v>
      </c>
      <c r="AA60" s="856" t="s">
        <v>2306</v>
      </c>
      <c r="AB60" s="853" t="s">
        <v>2307</v>
      </c>
      <c r="AC60" s="853" t="s">
        <v>2306</v>
      </c>
      <c r="AD60" s="853"/>
    </row>
    <row customHeight="1" ht="9">
      <c r="A61" s="852"/>
      <c r="B61" s="906">
        <v>44</v>
      </c>
      <c r="C61" s="850"/>
      <c r="D61" s="974" t="s">
        <v>2308</v>
      </c>
      <c r="E61" s="850"/>
      <c r="F61" s="850"/>
      <c r="G61" s="850"/>
      <c r="H61" s="898"/>
      <c r="I61" s="1012" t="str">
        <f>INDEX(TEMPLATE_NUMBER_POINT_FHD,B61,MATCH(TEMPLATE_SPHERE,TEMPLATE_SPHERE_LIST_FOR_NOTE,0))</f>
        <v>7</v>
      </c>
      <c r="J61" s="1012" t="str">
        <f>INDEX(TEMPLATE_DATA_POINT_FHD,B61,MATCH(TEMPLATE_SPHERE,TEMPLATE_SPHERE_LIST_FOR_NOTE,0))</f>
        <v>Объём поднятой воды</v>
      </c>
      <c r="K61" s="1012">
        <f>INDEX(TEMPLATE_NOTE_POINT_FHD,B61,MATCH(TEMPLATE_SPHERE,TEMPLATE_SPHERE_LIST_FOR_NOTE,0))</f>
        <v>0</v>
      </c>
      <c r="L61" s="851" t="str">
        <f>IF(I61=0,"",I61)</f>
        <v>7</v>
      </c>
      <c r="M61" s="851" t="str">
        <f>IF(J61=0,"",J61)</f>
        <v>Объём поднятой воды</v>
      </c>
      <c r="N61" s="851" t="str">
        <f>IF(K61=0,"",K61)</f>
        <v/>
      </c>
      <c r="O61" s="964"/>
      <c r="P61" s="964" t="s">
        <v>93</v>
      </c>
      <c r="Q61" s="964"/>
      <c r="R61" s="964"/>
      <c r="S61" s="964"/>
      <c r="T61" s="850"/>
      <c r="U61" s="850" t="s">
        <v>2309</v>
      </c>
      <c r="V61" s="850"/>
      <c r="W61" s="850"/>
      <c r="X61" s="850"/>
      <c r="Y61" s="1007"/>
      <c r="Z61" s="853"/>
      <c r="AA61" s="856"/>
      <c r="AB61" s="853"/>
      <c r="AC61" s="853"/>
      <c r="AD61" s="853"/>
    </row>
    <row customHeight="1" ht="9">
      <c r="A62" s="852"/>
      <c r="B62" s="906">
        <v>45</v>
      </c>
      <c r="C62" s="850"/>
      <c r="D62" s="974" t="s">
        <v>2310</v>
      </c>
      <c r="E62" s="850"/>
      <c r="F62" s="850"/>
      <c r="G62" s="850"/>
      <c r="H62" s="898"/>
      <c r="I62" s="1012" t="str">
        <f>INDEX(TEMPLATE_NUMBER_POINT_FHD,B62,MATCH(TEMPLATE_SPHERE,TEMPLATE_SPHERE_LIST_FOR_NOTE,0))</f>
        <v>8</v>
      </c>
      <c r="J62" s="1012" t="str">
        <f>INDEX(TEMPLATE_DATA_POINT_FHD,B62,MATCH(TEMPLATE_SPHERE,TEMPLATE_SPHERE_LIST_FOR_NOTE,0))</f>
        <v>Объём покупной воды</v>
      </c>
      <c r="K62" s="1012">
        <f>INDEX(TEMPLATE_NOTE_POINT_FHD,B62,MATCH(TEMPLATE_SPHERE,TEMPLATE_SPHERE_LIST_FOR_NOTE,0))</f>
        <v>0</v>
      </c>
      <c r="L62" s="851" t="str">
        <f>IF(I62=0,"",I62)</f>
        <v>8</v>
      </c>
      <c r="M62" s="851" t="str">
        <f>IF(J62=0,"",J62)</f>
        <v>Объём покупной воды</v>
      </c>
      <c r="N62" s="851" t="str">
        <f>IF(K62=0,"",K62)</f>
        <v/>
      </c>
      <c r="O62" s="964"/>
      <c r="P62" s="964" t="s">
        <v>132</v>
      </c>
      <c r="Q62" s="964"/>
      <c r="R62" s="964"/>
      <c r="S62" s="964"/>
      <c r="T62" s="850"/>
      <c r="U62" s="850" t="s">
        <v>2311</v>
      </c>
      <c r="V62" s="850"/>
      <c r="W62" s="850"/>
      <c r="X62" s="850"/>
      <c r="Y62" s="1007"/>
      <c r="Z62" s="853"/>
      <c r="AA62" s="856"/>
      <c r="AB62" s="853"/>
      <c r="AC62" s="853"/>
      <c r="AD62" s="853"/>
    </row>
    <row customHeight="1" ht="18">
      <c r="A63" s="852"/>
      <c r="B63" s="906">
        <v>46</v>
      </c>
      <c r="C63" s="850"/>
      <c r="D63" s="974" t="s">
        <v>2312</v>
      </c>
      <c r="E63" s="850"/>
      <c r="F63" s="850"/>
      <c r="G63" s="850"/>
      <c r="H63" s="898"/>
      <c r="I63" s="1012" t="str">
        <f>INDEX(TEMPLATE_NUMBER_POINT_FHD,B63,MATCH(TEMPLATE_SPHERE,TEMPLATE_SPHERE_LIST_FOR_NOTE,0))</f>
        <v>9</v>
      </c>
      <c r="J63" s="1012" t="str">
        <f>INDEX(TEMPLATE_DATA_POINT_FHD,B63,MATCH(TEMPLATE_SPHERE,TEMPLATE_SPHERE_LIST_FOR_NOTE,0))</f>
        <v>Объём воды, пропущенной через очистные сооружения</v>
      </c>
      <c r="K63" s="1012">
        <f>INDEX(TEMPLATE_NOTE_POINT_FHD,B63,MATCH(TEMPLATE_SPHERE,TEMPLATE_SPHERE_LIST_FOR_NOTE,0))</f>
        <v>0</v>
      </c>
      <c r="L63" s="851" t="str">
        <f>IF(I63=0,"",I63)</f>
        <v>9</v>
      </c>
      <c r="M63" s="851" t="str">
        <f>IF(J63=0,"",J63)</f>
        <v>Объём воды, пропущенной через очистные сооружения</v>
      </c>
      <c r="N63" s="851" t="str">
        <f>IF(K63=0,"",K63)</f>
        <v/>
      </c>
      <c r="O63" s="964"/>
      <c r="P63" s="964" t="s">
        <v>137</v>
      </c>
      <c r="Q63" s="964"/>
      <c r="R63" s="964"/>
      <c r="S63" s="964"/>
      <c r="T63" s="850"/>
      <c r="U63" s="850" t="s">
        <v>2313</v>
      </c>
      <c r="V63" s="850"/>
      <c r="W63" s="850"/>
      <c r="X63" s="850"/>
      <c r="Y63" s="1007"/>
      <c r="Z63" s="853"/>
      <c r="AA63" s="856"/>
      <c r="AB63" s="853"/>
      <c r="AC63" s="853"/>
      <c r="AD63" s="853"/>
    </row>
    <row customHeight="1" ht="18">
      <c r="A64" s="852"/>
      <c r="B64" s="906">
        <v>47</v>
      </c>
      <c r="C64" s="850"/>
      <c r="D64" s="974" t="s">
        <v>2314</v>
      </c>
      <c r="E64" s="850"/>
      <c r="F64" s="850"/>
      <c r="G64" s="850"/>
      <c r="H64" s="898"/>
      <c r="I64" s="1012" t="str">
        <f>INDEX(TEMPLATE_NUMBER_POINT_FHD,B64,MATCH(TEMPLATE_SPHERE,TEMPLATE_SPHERE_LIST_FOR_NOTE,0))</f>
        <v>10</v>
      </c>
      <c r="J64" s="1012" t="str">
        <f>INDEX(TEMPLATE_DATA_POINT_FHD,B64,MATCH(TEMPLATE_SPHERE,TEMPLATE_SPHERE_LIST_FOR_NOTE,0))</f>
        <v>Объём отпущенной потребителям воды, в том числе:</v>
      </c>
      <c r="K64" s="1012" t="str">
        <f>INDEX(TEMPLATE_NOTE_POINT_FHD,B64,MATCH(TEMPLATE_SPHERE,TEMPLATE_SPHERE_LIST_FOR_NOTE,0))</f>
        <v>Указывается общий объем отпущенной потребителям воды.</v>
      </c>
      <c r="L64" s="851" t="str">
        <f>IF(I64=0,"",I64)</f>
        <v>10</v>
      </c>
      <c r="M64" s="851" t="str">
        <f>IF(J64=0,"",J64)</f>
        <v>Объём отпущенной потребителям воды, в том числе:</v>
      </c>
      <c r="N64" s="851" t="str">
        <f>IF(K64=0,"",K64)</f>
        <v>Указывается общий объем отпущенной потребителям воды.</v>
      </c>
      <c r="O64" s="964"/>
      <c r="P64" s="964" t="s">
        <v>142</v>
      </c>
      <c r="Q64" s="964"/>
      <c r="R64" s="964"/>
      <c r="S64" s="964"/>
      <c r="T64" s="850"/>
      <c r="U64" s="850" t="s">
        <v>2315</v>
      </c>
      <c r="V64" s="850"/>
      <c r="W64" s="850"/>
      <c r="X64" s="850"/>
      <c r="Y64" s="1007"/>
      <c r="Z64" s="853"/>
      <c r="AA64" s="856" t="s">
        <v>2316</v>
      </c>
      <c r="AB64" s="853"/>
      <c r="AC64" s="853"/>
      <c r="AD64" s="853"/>
    </row>
    <row customHeight="1" ht="18">
      <c r="A65" s="852"/>
      <c r="B65" s="906">
        <v>48</v>
      </c>
      <c r="C65" s="850"/>
      <c r="D65" s="974"/>
      <c r="E65" s="850"/>
      <c r="F65" s="850"/>
      <c r="G65" s="850"/>
      <c r="H65" s="898"/>
      <c r="I65" s="1012" t="str">
        <f>INDEX(TEMPLATE_NUMBER_POINT_FHD,B65,MATCH(TEMPLATE_SPHERE,TEMPLATE_SPHERE_LIST_FOR_NOTE,0))</f>
        <v>10.1</v>
      </c>
      <c r="J65" s="1012" t="str">
        <f>INDEX(TEMPLATE_DATA_POINT_FHD,B65,MATCH(TEMPLATE_SPHERE,TEMPLATE_SPHERE_LIST_FOR_NOTE,0))</f>
        <v>Объём отпущенной потребителям воды, определенный по приборам учета</v>
      </c>
      <c r="K65" s="1012">
        <f>INDEX(TEMPLATE_NOTE_POINT_FHD,B65,MATCH(TEMPLATE_SPHERE,TEMPLATE_SPHERE_LIST_FOR_NOTE,0))</f>
        <v>0</v>
      </c>
      <c r="L65" s="851" t="str">
        <f>IF(I65=0,"",I65)</f>
        <v>10.1</v>
      </c>
      <c r="M65" s="851" t="str">
        <f>IF(J65=0,"",J65)</f>
        <v>Объём отпущенной потребителям воды, определенный по приборам учета</v>
      </c>
      <c r="N65" s="851" t="str">
        <f>IF(K65=0,"",K65)</f>
        <v/>
      </c>
      <c r="O65" s="964"/>
      <c r="P65" s="964" t="s">
        <v>2229</v>
      </c>
      <c r="Q65" s="964"/>
      <c r="R65" s="964"/>
      <c r="S65" s="964"/>
      <c r="T65" s="850"/>
      <c r="U65" s="850" t="s">
        <v>2317</v>
      </c>
      <c r="V65" s="850"/>
      <c r="W65" s="850"/>
      <c r="X65" s="850"/>
      <c r="Y65" s="1007"/>
      <c r="Z65" s="853"/>
      <c r="AA65" s="856"/>
      <c r="AB65" s="853"/>
      <c r="AC65" s="853"/>
      <c r="AD65" s="853"/>
    </row>
    <row customHeight="1" ht="18">
      <c r="A66" s="852"/>
      <c r="B66" s="906">
        <v>49</v>
      </c>
      <c r="C66" s="850"/>
      <c r="D66" s="974"/>
      <c r="E66" s="850"/>
      <c r="F66" s="850"/>
      <c r="G66" s="850"/>
      <c r="H66" s="898"/>
      <c r="I66" s="1012" t="str">
        <f>INDEX(TEMPLATE_NUMBER_POINT_FHD,B66,MATCH(TEMPLATE_SPHERE,TEMPLATE_SPHERE_LIST_FOR_NOTE,0))</f>
        <v>10.2</v>
      </c>
      <c r="J66" s="1012" t="str">
        <f>INDEX(TEMPLATE_DATA_POINT_FHD,B66,MATCH(TEMPLATE_SPHERE,TEMPLATE_SPHERE_LIST_FOR_NOTE,0))</f>
        <v>Объём отпущенной потребителям воды, определенный расчетным способом</v>
      </c>
      <c r="K66" s="1012">
        <f>INDEX(TEMPLATE_NOTE_POINT_FHD,B66,MATCH(TEMPLATE_SPHERE,TEMPLATE_SPHERE_LIST_FOR_NOTE,0))</f>
        <v>0</v>
      </c>
      <c r="L66" s="851" t="str">
        <f>IF(I66=0,"",I66)</f>
        <v>10.2</v>
      </c>
      <c r="M66" s="851" t="str">
        <f>IF(J66=0,"",J66)</f>
        <v>Объём отпущенной потребителям воды, определенный расчетным способом</v>
      </c>
      <c r="N66" s="851" t="str">
        <f>IF(K66=0,"",K66)</f>
        <v/>
      </c>
      <c r="O66" s="964"/>
      <c r="P66" s="964" t="s">
        <v>2233</v>
      </c>
      <c r="Q66" s="964"/>
      <c r="R66" s="964"/>
      <c r="S66" s="964"/>
      <c r="T66" s="850"/>
      <c r="U66" s="850" t="s">
        <v>2318</v>
      </c>
      <c r="V66" s="850"/>
      <c r="W66" s="850"/>
      <c r="X66" s="850"/>
      <c r="Y66" s="1007"/>
      <c r="Z66" s="853"/>
      <c r="AA66" s="856"/>
      <c r="AB66" s="853"/>
      <c r="AC66" s="853"/>
      <c r="AD66" s="853"/>
    </row>
    <row customHeight="1" ht="27">
      <c r="A67" s="852"/>
      <c r="B67" s="906">
        <v>50</v>
      </c>
      <c r="C67" s="850"/>
      <c r="D67" s="974"/>
      <c r="E67" s="850"/>
      <c r="F67" s="850"/>
      <c r="G67" s="850"/>
      <c r="H67" s="898"/>
      <c r="I67" s="1012" t="str">
        <f>INDEX(TEMPLATE_NUMBER_POINT_FHD,B67,MATCH(TEMPLATE_SPHERE,TEMPLATE_SPHERE_LIST_FOR_NOTE,0))</f>
        <v>10.2.1</v>
      </c>
      <c r="J67" s="1012"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12">
        <f>INDEX(TEMPLATE_NOTE_POINT_FHD,B67,MATCH(TEMPLATE_SPHERE,TEMPLATE_SPHERE_LIST_FOR_NOTE,0))</f>
        <v>0</v>
      </c>
      <c r="L67" s="851" t="str">
        <f>IF(I67=0,"",I67)</f>
        <v>10.2.1</v>
      </c>
      <c r="M67" s="851" t="str">
        <f>IF(J67=0,"",J67)</f>
        <v>Объём отпущенной потребителям воды, определенный по нормативам потребления коммунальных услуг</v>
      </c>
      <c r="N67" s="851" t="str">
        <f>IF(K67=0,"",K67)</f>
        <v/>
      </c>
      <c r="O67" s="964"/>
      <c r="P67" s="964" t="s">
        <v>2319</v>
      </c>
      <c r="Q67" s="964"/>
      <c r="R67" s="964"/>
      <c r="S67" s="964"/>
      <c r="T67" s="850"/>
      <c r="U67" s="850" t="s">
        <v>2320</v>
      </c>
      <c r="V67" s="850"/>
      <c r="W67" s="850"/>
      <c r="X67" s="850"/>
      <c r="Y67" s="1007"/>
      <c r="Z67" s="853"/>
      <c r="AA67" s="856"/>
      <c r="AB67" s="853"/>
      <c r="AC67" s="853"/>
      <c r="AD67" s="853"/>
    </row>
    <row customHeight="1" ht="27">
      <c r="A68" s="852"/>
      <c r="B68" s="906">
        <v>51</v>
      </c>
      <c r="C68" s="850"/>
      <c r="D68" s="974"/>
      <c r="E68" s="850"/>
      <c r="F68" s="850"/>
      <c r="G68" s="850"/>
      <c r="H68" s="898"/>
      <c r="I68" s="1012" t="str">
        <f>INDEX(TEMPLATE_NUMBER_POINT_FHD,B68,MATCH(TEMPLATE_SPHERE,TEMPLATE_SPHERE_LIST_FOR_NOTE,0))</f>
        <v>10.2.2</v>
      </c>
      <c r="J68" s="1012"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12">
        <f>INDEX(TEMPLATE_NOTE_POINT_FHD,B68,MATCH(TEMPLATE_SPHERE,TEMPLATE_SPHERE_LIST_FOR_NOTE,0))</f>
        <v>0</v>
      </c>
      <c r="L68" s="851" t="str">
        <f>IF(I68=0,"",I68)</f>
        <v>10.2.2</v>
      </c>
      <c r="M68" s="851" t="str">
        <f>IF(J68=0,"",J68)</f>
        <v>Объём отпущенной потребителям воды, определенный по нормативам потребления коммунальных ресурсов </v>
      </c>
      <c r="N68" s="851" t="str">
        <f>IF(K68=0,"",K68)</f>
        <v/>
      </c>
      <c r="O68" s="964"/>
      <c r="P68" s="964" t="s">
        <v>2321</v>
      </c>
      <c r="Q68" s="964"/>
      <c r="R68" s="964"/>
      <c r="S68" s="964"/>
      <c r="T68" s="850"/>
      <c r="U68" s="850" t="s">
        <v>2322</v>
      </c>
      <c r="V68" s="850"/>
      <c r="W68" s="850"/>
      <c r="X68" s="850"/>
      <c r="Y68" s="1007"/>
      <c r="Z68" s="853"/>
      <c r="AA68" s="856"/>
      <c r="AB68" s="853"/>
      <c r="AC68" s="853"/>
      <c r="AD68" s="853"/>
    </row>
    <row customHeight="1" ht="9">
      <c r="A69" s="852"/>
      <c r="B69" s="906">
        <v>52</v>
      </c>
      <c r="C69" s="850"/>
      <c r="D69" s="974" t="s">
        <v>2323</v>
      </c>
      <c r="E69" s="850"/>
      <c r="F69" s="850"/>
      <c r="G69" s="850"/>
      <c r="H69" s="898"/>
      <c r="I69" s="1012" t="str">
        <f>INDEX(TEMPLATE_NUMBER_POINT_FHD,B69,MATCH(TEMPLATE_SPHERE,TEMPLATE_SPHERE_LIST_FOR_NOTE,0))</f>
        <v>11</v>
      </c>
      <c r="J69" s="1012" t="str">
        <f>INDEX(TEMPLATE_DATA_POINT_FHD,B69,MATCH(TEMPLATE_SPHERE,TEMPLATE_SPHERE_LIST_FOR_NOTE,0))</f>
        <v>Потери воды в сетях</v>
      </c>
      <c r="K69" s="1012">
        <f>INDEX(TEMPLATE_NOTE_POINT_FHD,B69,MATCH(TEMPLATE_SPHERE,TEMPLATE_SPHERE_LIST_FOR_NOTE,0))</f>
        <v>0</v>
      </c>
      <c r="L69" s="851" t="str">
        <f>IF(I69=0,"",I69)</f>
        <v>11</v>
      </c>
      <c r="M69" s="851" t="str">
        <f>IF(J69=0,"",J69)</f>
        <v>Потери воды в сетях</v>
      </c>
      <c r="N69" s="851" t="str">
        <f>IF(K69=0,"",K69)</f>
        <v/>
      </c>
      <c r="O69" s="964"/>
      <c r="P69" s="964" t="s">
        <v>147</v>
      </c>
      <c r="Q69" s="964"/>
      <c r="R69" s="964"/>
      <c r="S69" s="964"/>
      <c r="T69" s="850"/>
      <c r="U69" s="850" t="s">
        <v>2324</v>
      </c>
      <c r="V69" s="850"/>
      <c r="W69" s="850"/>
      <c r="X69" s="850"/>
      <c r="Y69" s="1007"/>
      <c r="Z69" s="853"/>
      <c r="AA69" s="856"/>
      <c r="AB69" s="853"/>
      <c r="AC69" s="853"/>
      <c r="AD69" s="853"/>
    </row>
    <row customHeight="1" ht="27">
      <c r="A70" s="852"/>
      <c r="B70" s="906">
        <v>53</v>
      </c>
      <c r="C70" s="850"/>
      <c r="D70" s="974"/>
      <c r="E70" s="850" t="s">
        <v>2308</v>
      </c>
      <c r="F70" s="850"/>
      <c r="G70" s="850"/>
      <c r="H70" s="898"/>
      <c r="I70" s="1012">
        <f>INDEX(TEMPLATE_NUMBER_POINT_FHD,B70,MATCH(TEMPLATE_SPHERE,TEMPLATE_SPHERE_LIST_FOR_NOTE,0))</f>
        <v>0</v>
      </c>
      <c r="J70" s="1012">
        <f>INDEX(TEMPLATE_DATA_POINT_FHD,B70,MATCH(TEMPLATE_SPHERE,TEMPLATE_SPHERE_LIST_FOR_NOTE,0))</f>
        <v>0</v>
      </c>
      <c r="K70" s="1012">
        <f>INDEX(TEMPLATE_NOTE_POINT_FHD,B70,MATCH(TEMPLATE_SPHERE,TEMPLATE_SPHERE_LIST_FOR_NOTE,0))</f>
        <v>0</v>
      </c>
      <c r="L70" s="851" t="str">
        <f>IF(I70=0,"",I70)</f>
        <v/>
      </c>
      <c r="M70" s="851" t="str">
        <f>IF(J70=0,"",J70)</f>
        <v/>
      </c>
      <c r="N70" s="851" t="str">
        <f>IF(K70=0,"",K70)</f>
        <v/>
      </c>
      <c r="O70" s="964"/>
      <c r="P70" s="964"/>
      <c r="Q70" s="964" t="s">
        <v>93</v>
      </c>
      <c r="R70" s="964"/>
      <c r="S70" s="964"/>
      <c r="T70" s="850"/>
      <c r="U70" s="850"/>
      <c r="V70" s="850" t="s">
        <v>2325</v>
      </c>
      <c r="W70" s="850"/>
      <c r="X70" s="850"/>
      <c r="Y70" s="1007"/>
      <c r="Z70" s="853"/>
      <c r="AA70" s="856"/>
      <c r="AB70" s="853"/>
      <c r="AC70" s="853"/>
      <c r="AD70" s="853"/>
    </row>
    <row customHeight="1" ht="36">
      <c r="A71" s="852"/>
      <c r="B71" s="906">
        <v>54</v>
      </c>
      <c r="C71" s="850"/>
      <c r="D71" s="974"/>
      <c r="E71" s="850" t="s">
        <v>2310</v>
      </c>
      <c r="F71" s="850"/>
      <c r="G71" s="850"/>
      <c r="H71" s="898"/>
      <c r="I71" s="1012">
        <f>INDEX(TEMPLATE_NUMBER_POINT_FHD,B71,MATCH(TEMPLATE_SPHERE,TEMPLATE_SPHERE_LIST_FOR_NOTE,0))</f>
        <v>0</v>
      </c>
      <c r="J71" s="1012">
        <f>INDEX(TEMPLATE_DATA_POINT_FHD,B71,MATCH(TEMPLATE_SPHERE,TEMPLATE_SPHERE_LIST_FOR_NOTE,0))</f>
        <v>0</v>
      </c>
      <c r="K71" s="1012">
        <f>INDEX(TEMPLATE_NOTE_POINT_FHD,B71,MATCH(TEMPLATE_SPHERE,TEMPLATE_SPHERE_LIST_FOR_NOTE,0))</f>
        <v>0</v>
      </c>
      <c r="L71" s="851" t="str">
        <f>IF(I71=0,"",I71)</f>
        <v/>
      </c>
      <c r="M71" s="851" t="str">
        <f>IF(J71=0,"",J71)</f>
        <v/>
      </c>
      <c r="N71" s="851" t="str">
        <f>IF(K71=0,"",K71)</f>
        <v/>
      </c>
      <c r="O71" s="964"/>
      <c r="P71" s="964"/>
      <c r="Q71" s="964" t="s">
        <v>132</v>
      </c>
      <c r="R71" s="964"/>
      <c r="S71" s="964"/>
      <c r="T71" s="850"/>
      <c r="U71" s="850"/>
      <c r="V71" s="850" t="s">
        <v>2326</v>
      </c>
      <c r="W71" s="850"/>
      <c r="X71" s="850"/>
      <c r="Y71" s="1007"/>
      <c r="Z71" s="853"/>
      <c r="AA71" s="856"/>
      <c r="AB71" s="853"/>
      <c r="AC71" s="853"/>
      <c r="AD71" s="853"/>
    </row>
    <row customHeight="1" ht="27">
      <c r="A72" s="852"/>
      <c r="B72" s="906">
        <v>55</v>
      </c>
      <c r="C72" s="850"/>
      <c r="D72" s="974"/>
      <c r="E72" s="850" t="s">
        <v>2312</v>
      </c>
      <c r="F72" s="850"/>
      <c r="G72" s="850"/>
      <c r="H72" s="898"/>
      <c r="I72" s="1012">
        <f>INDEX(TEMPLATE_NUMBER_POINT_FHD,B72,MATCH(TEMPLATE_SPHERE,TEMPLATE_SPHERE_LIST_FOR_NOTE,0))</f>
        <v>0</v>
      </c>
      <c r="J72" s="1012">
        <f>INDEX(TEMPLATE_DATA_POINT_FHD,B72,MATCH(TEMPLATE_SPHERE,TEMPLATE_SPHERE_LIST_FOR_NOTE,0))</f>
        <v>0</v>
      </c>
      <c r="K72" s="1012">
        <f>INDEX(TEMPLATE_NOTE_POINT_FHD,B72,MATCH(TEMPLATE_SPHERE,TEMPLATE_SPHERE_LIST_FOR_NOTE,0))</f>
        <v>0</v>
      </c>
      <c r="L72" s="851" t="str">
        <f>IF(I72=0,"",I72)</f>
        <v/>
      </c>
      <c r="M72" s="851" t="str">
        <f>IF(J72=0,"",J72)</f>
        <v/>
      </c>
      <c r="N72" s="851" t="str">
        <f>IF(K72=0,"",K72)</f>
        <v/>
      </c>
      <c r="O72" s="964"/>
      <c r="P72" s="964"/>
      <c r="Q72" s="964" t="s">
        <v>137</v>
      </c>
      <c r="R72" s="964"/>
      <c r="S72" s="964"/>
      <c r="T72" s="850"/>
      <c r="U72" s="850"/>
      <c r="V72" s="850" t="s">
        <v>2327</v>
      </c>
      <c r="W72" s="850"/>
      <c r="X72" s="850"/>
      <c r="Y72" s="1007"/>
      <c r="Z72" s="853"/>
      <c r="AA72" s="856"/>
      <c r="AB72" s="853"/>
      <c r="AC72" s="853"/>
      <c r="AD72" s="853"/>
    </row>
    <row customHeight="1" ht="36">
      <c r="A73" s="852"/>
      <c r="B73" s="906">
        <v>56</v>
      </c>
      <c r="C73" s="850"/>
      <c r="D73" s="974"/>
      <c r="E73" s="850" t="s">
        <v>2314</v>
      </c>
      <c r="F73" s="850"/>
      <c r="G73" s="850"/>
      <c r="H73" s="898"/>
      <c r="I73" s="1012">
        <f>INDEX(TEMPLATE_NUMBER_POINT_FHD,B73,MATCH(TEMPLATE_SPHERE,TEMPLATE_SPHERE_LIST_FOR_NOTE,0))</f>
        <v>0</v>
      </c>
      <c r="J73" s="1012">
        <f>INDEX(TEMPLATE_DATA_POINT_FHD,B73,MATCH(TEMPLATE_SPHERE,TEMPLATE_SPHERE_LIST_FOR_NOTE,0))</f>
        <v>0</v>
      </c>
      <c r="K73" s="1012">
        <f>INDEX(TEMPLATE_NOTE_POINT_FHD,B73,MATCH(TEMPLATE_SPHERE,TEMPLATE_SPHERE_LIST_FOR_NOTE,0))</f>
        <v>0</v>
      </c>
      <c r="L73" s="851" t="str">
        <f>IF(I73=0,"",I73)</f>
        <v/>
      </c>
      <c r="M73" s="851" t="str">
        <f>IF(J73=0,"",J73)</f>
        <v/>
      </c>
      <c r="N73" s="851" t="str">
        <f>IF(K73=0,"",K73)</f>
        <v/>
      </c>
      <c r="O73" s="964"/>
      <c r="P73" s="964"/>
      <c r="Q73" s="964" t="s">
        <v>142</v>
      </c>
      <c r="R73" s="964"/>
      <c r="S73" s="964"/>
      <c r="T73" s="850"/>
      <c r="U73" s="850"/>
      <c r="V73" s="850" t="s">
        <v>2328</v>
      </c>
      <c r="W73" s="850"/>
      <c r="X73" s="850"/>
      <c r="Y73" s="1007"/>
      <c r="Z73" s="853"/>
      <c r="AA73" s="856"/>
      <c r="AB73" s="853"/>
      <c r="AC73" s="853"/>
      <c r="AD73" s="853"/>
    </row>
    <row customHeight="1" ht="18">
      <c r="A74" s="852"/>
      <c r="B74" s="906">
        <v>57</v>
      </c>
      <c r="C74" s="850"/>
      <c r="D74" s="974"/>
      <c r="E74" s="850" t="s">
        <v>2323</v>
      </c>
      <c r="F74" s="850"/>
      <c r="G74" s="850"/>
      <c r="H74" s="898"/>
      <c r="I74" s="1012">
        <f>INDEX(TEMPLATE_NUMBER_POINT_FHD,B74,MATCH(TEMPLATE_SPHERE,TEMPLATE_SPHERE_LIST_FOR_NOTE,0))</f>
        <v>0</v>
      </c>
      <c r="J74" s="1012">
        <f>INDEX(TEMPLATE_DATA_POINT_FHD,B74,MATCH(TEMPLATE_SPHERE,TEMPLATE_SPHERE_LIST_FOR_NOTE,0))</f>
        <v>0</v>
      </c>
      <c r="K74" s="1012">
        <f>INDEX(TEMPLATE_NOTE_POINT_FHD,B74,MATCH(TEMPLATE_SPHERE,TEMPLATE_SPHERE_LIST_FOR_NOTE,0))</f>
        <v>0</v>
      </c>
      <c r="L74" s="851" t="str">
        <f>IF(I74=0,"",I74)</f>
        <v/>
      </c>
      <c r="M74" s="851" t="str">
        <f>IF(J74=0,"",J74)</f>
        <v/>
      </c>
      <c r="N74" s="851" t="str">
        <f>IF(K74=0,"",K74)</f>
        <v/>
      </c>
      <c r="O74" s="964"/>
      <c r="P74" s="964"/>
      <c r="Q74" s="964" t="s">
        <v>147</v>
      </c>
      <c r="R74" s="964"/>
      <c r="S74" s="964"/>
      <c r="T74" s="850"/>
      <c r="U74" s="850"/>
      <c r="V74" s="850" t="s">
        <v>2329</v>
      </c>
      <c r="W74" s="850"/>
      <c r="X74" s="850"/>
      <c r="Y74" s="1007"/>
      <c r="Z74" s="853"/>
      <c r="AA74" s="856"/>
      <c r="AB74" s="853"/>
      <c r="AC74" s="853"/>
      <c r="AD74" s="853"/>
    </row>
    <row customHeight="1" ht="18">
      <c r="A75" s="852"/>
      <c r="B75" s="906">
        <v>58</v>
      </c>
      <c r="C75" s="850"/>
      <c r="D75" s="974"/>
      <c r="E75" s="850"/>
      <c r="F75" s="850" t="s">
        <v>2308</v>
      </c>
      <c r="G75" s="850"/>
      <c r="H75" s="898"/>
      <c r="I75" s="1012">
        <f>INDEX(TEMPLATE_NUMBER_POINT_FHD,B75,MATCH(TEMPLATE_SPHERE,TEMPLATE_SPHERE_LIST_FOR_NOTE,0))</f>
        <v>0</v>
      </c>
      <c r="J75" s="1012">
        <f>INDEX(TEMPLATE_DATA_POINT_FHD,B75,MATCH(TEMPLATE_SPHERE,TEMPLATE_SPHERE_LIST_FOR_NOTE,0))</f>
        <v>0</v>
      </c>
      <c r="K75" s="1012">
        <f>INDEX(TEMPLATE_NOTE_POINT_FHD,B75,MATCH(TEMPLATE_SPHERE,TEMPLATE_SPHERE_LIST_FOR_NOTE,0))</f>
        <v>0</v>
      </c>
      <c r="L75" s="851" t="str">
        <f>IF(I75=0,"",I75)</f>
        <v/>
      </c>
      <c r="M75" s="851" t="str">
        <f>IF(J75=0,"",J75)</f>
        <v/>
      </c>
      <c r="N75" s="851" t="str">
        <f>IF(K75=0,"",K75)</f>
        <v/>
      </c>
      <c r="O75" s="964"/>
      <c r="P75" s="964"/>
      <c r="Q75" s="964"/>
      <c r="R75" s="964" t="s">
        <v>93</v>
      </c>
      <c r="S75" s="964"/>
      <c r="T75" s="850"/>
      <c r="U75" s="850"/>
      <c r="V75" s="850"/>
      <c r="W75" s="850" t="s">
        <v>2330</v>
      </c>
      <c r="X75" s="850"/>
      <c r="Y75" s="1007"/>
      <c r="Z75" s="853"/>
      <c r="AA75" s="856"/>
      <c r="AB75" s="853"/>
      <c r="AC75" s="853"/>
      <c r="AD75" s="853"/>
    </row>
    <row customHeight="1" ht="36">
      <c r="A76" s="852"/>
      <c r="B76" s="906">
        <v>59</v>
      </c>
      <c r="C76" s="850"/>
      <c r="D76" s="974"/>
      <c r="E76" s="850"/>
      <c r="F76" s="850" t="s">
        <v>2310</v>
      </c>
      <c r="G76" s="850"/>
      <c r="H76" s="898"/>
      <c r="I76" s="1012">
        <f>INDEX(TEMPLATE_NUMBER_POINT_FHD,B76,MATCH(TEMPLATE_SPHERE,TEMPLATE_SPHERE_LIST_FOR_NOTE,0))</f>
        <v>0</v>
      </c>
      <c r="J76" s="1012">
        <f>INDEX(TEMPLATE_DATA_POINT_FHD,B76,MATCH(TEMPLATE_SPHERE,TEMPLATE_SPHERE_LIST_FOR_NOTE,0))</f>
        <v>0</v>
      </c>
      <c r="K76" s="1012">
        <f>INDEX(TEMPLATE_NOTE_POINT_FHD,B76,MATCH(TEMPLATE_SPHERE,TEMPLATE_SPHERE_LIST_FOR_NOTE,0))</f>
        <v>0</v>
      </c>
      <c r="L76" s="851" t="str">
        <f>IF(I76=0,"",I76)</f>
        <v/>
      </c>
      <c r="M76" s="851" t="str">
        <f>IF(J76=0,"",J76)</f>
        <v/>
      </c>
      <c r="N76" s="851" t="str">
        <f>IF(K76=0,"",K76)</f>
        <v/>
      </c>
      <c r="O76" s="964"/>
      <c r="P76" s="964"/>
      <c r="Q76" s="964"/>
      <c r="R76" s="964" t="s">
        <v>132</v>
      </c>
      <c r="S76" s="964"/>
      <c r="T76" s="850"/>
      <c r="U76" s="850"/>
      <c r="V76" s="850"/>
      <c r="W76" s="850" t="s">
        <v>2331</v>
      </c>
      <c r="X76" s="850"/>
      <c r="Y76" s="1007"/>
      <c r="Z76" s="853"/>
      <c r="AA76" s="856"/>
      <c r="AB76" s="853"/>
      <c r="AC76" s="853"/>
      <c r="AD76" s="853"/>
    </row>
    <row customHeight="1" ht="18">
      <c r="A77" s="852"/>
      <c r="B77" s="906">
        <v>60</v>
      </c>
      <c r="C77" s="850"/>
      <c r="D77" s="974"/>
      <c r="E77" s="850"/>
      <c r="F77" s="850" t="s">
        <v>2312</v>
      </c>
      <c r="G77" s="850"/>
      <c r="H77" s="898"/>
      <c r="I77" s="1012">
        <f>INDEX(TEMPLATE_NUMBER_POINT_FHD,B77,MATCH(TEMPLATE_SPHERE,TEMPLATE_SPHERE_LIST_FOR_NOTE,0))</f>
        <v>0</v>
      </c>
      <c r="J77" s="1012">
        <f>INDEX(TEMPLATE_DATA_POINT_FHD,B77,MATCH(TEMPLATE_SPHERE,TEMPLATE_SPHERE_LIST_FOR_NOTE,0))</f>
        <v>0</v>
      </c>
      <c r="K77" s="1012">
        <f>INDEX(TEMPLATE_NOTE_POINT_FHD,B77,MATCH(TEMPLATE_SPHERE,TEMPLATE_SPHERE_LIST_FOR_NOTE,0))</f>
        <v>0</v>
      </c>
      <c r="L77" s="851" t="str">
        <f>IF(I77=0,"",I77)</f>
        <v/>
      </c>
      <c r="M77" s="851" t="str">
        <f>IF(J77=0,"",J77)</f>
        <v/>
      </c>
      <c r="N77" s="851" t="str">
        <f>IF(K77=0,"",K77)</f>
        <v/>
      </c>
      <c r="O77" s="964"/>
      <c r="P77" s="964"/>
      <c r="Q77" s="964"/>
      <c r="R77" s="964" t="s">
        <v>137</v>
      </c>
      <c r="S77" s="964"/>
      <c r="T77" s="850"/>
      <c r="U77" s="850"/>
      <c r="V77" s="850"/>
      <c r="W77" s="850" t="s">
        <v>2332</v>
      </c>
      <c r="X77" s="850"/>
      <c r="Y77" s="1007"/>
      <c r="Z77" s="853"/>
      <c r="AA77" s="856"/>
      <c r="AB77" s="853"/>
      <c r="AC77" s="853"/>
      <c r="AD77" s="853"/>
    </row>
    <row customHeight="1" ht="72">
      <c r="A78" s="852"/>
      <c r="B78" s="906">
        <v>61</v>
      </c>
      <c r="C78" s="850" t="s">
        <v>2308</v>
      </c>
      <c r="D78" s="974"/>
      <c r="E78" s="850"/>
      <c r="F78" s="850"/>
      <c r="G78" s="850"/>
      <c r="H78" s="898"/>
      <c r="I78" s="1012">
        <f>INDEX(TEMPLATE_NUMBER_POINT_FHD,B78,MATCH(TEMPLATE_SPHERE,TEMPLATE_SPHERE_LIST_FOR_NOTE,0))</f>
        <v>0</v>
      </c>
      <c r="J78" s="1012">
        <f>INDEX(TEMPLATE_DATA_POINT_FHD,B78,MATCH(TEMPLATE_SPHERE,TEMPLATE_SPHERE_LIST_FOR_NOTE,0))</f>
        <v>0</v>
      </c>
      <c r="K78" s="1012">
        <f>INDEX(TEMPLATE_NOTE_POINT_FHD,B78,MATCH(TEMPLATE_SPHERE,TEMPLATE_SPHERE_LIST_FOR_NOTE,0))</f>
        <v>0</v>
      </c>
      <c r="L78" s="851" t="str">
        <f>IF(I78=0,"",I78)</f>
        <v/>
      </c>
      <c r="M78" s="851" t="str">
        <f>IF(J78=0,"",J78)</f>
        <v/>
      </c>
      <c r="N78" s="851" t="str">
        <f>IF(K78=0,"",K78)</f>
        <v/>
      </c>
      <c r="O78" s="964" t="s">
        <v>93</v>
      </c>
      <c r="P78" s="964"/>
      <c r="Q78" s="964"/>
      <c r="R78" s="964"/>
      <c r="S78" s="964"/>
      <c r="T78" s="850" t="s">
        <v>796</v>
      </c>
      <c r="U78" s="850"/>
      <c r="V78" s="850"/>
      <c r="W78" s="850"/>
      <c r="X78" s="850"/>
      <c r="Y78" s="1007"/>
      <c r="Z78" s="853" t="s">
        <v>2333</v>
      </c>
      <c r="AA78" s="856"/>
      <c r="AB78" s="853"/>
      <c r="AC78" s="853"/>
      <c r="AD78" s="853"/>
    </row>
    <row customHeight="1" ht="36">
      <c r="A79" s="852"/>
      <c r="B79" s="906">
        <v>62</v>
      </c>
      <c r="C79" s="850" t="s">
        <v>2310</v>
      </c>
      <c r="D79" s="974"/>
      <c r="E79" s="850"/>
      <c r="F79" s="850"/>
      <c r="G79" s="850"/>
      <c r="H79" s="898"/>
      <c r="I79" s="1012">
        <f>INDEX(TEMPLATE_NUMBER_POINT_FHD,B79,MATCH(TEMPLATE_SPHERE,TEMPLATE_SPHERE_LIST_FOR_NOTE,0))</f>
        <v>0</v>
      </c>
      <c r="J79" s="1012">
        <f>INDEX(TEMPLATE_DATA_POINT_FHD,B79,MATCH(TEMPLATE_SPHERE,TEMPLATE_SPHERE_LIST_FOR_NOTE,0))</f>
        <v>0</v>
      </c>
      <c r="K79" s="1012">
        <f>INDEX(TEMPLATE_NOTE_POINT_FHD,B79,MATCH(TEMPLATE_SPHERE,TEMPLATE_SPHERE_LIST_FOR_NOTE,0))</f>
        <v>0</v>
      </c>
      <c r="L79" s="851" t="str">
        <f>IF(I79=0,"",I79)</f>
        <v/>
      </c>
      <c r="M79" s="851" t="str">
        <f>IF(J79=0,"",J79)</f>
        <v/>
      </c>
      <c r="N79" s="851" t="str">
        <f>IF(K79=0,"",K79)</f>
        <v/>
      </c>
      <c r="O79" s="964" t="s">
        <v>132</v>
      </c>
      <c r="P79" s="964"/>
      <c r="Q79" s="964"/>
      <c r="R79" s="964"/>
      <c r="S79" s="964"/>
      <c r="T79" s="850" t="s">
        <v>2334</v>
      </c>
      <c r="U79" s="850"/>
      <c r="V79" s="850"/>
      <c r="W79" s="850"/>
      <c r="X79" s="850"/>
      <c r="Y79" s="1007"/>
      <c r="Z79" s="853" t="s">
        <v>2335</v>
      </c>
      <c r="AA79" s="856"/>
      <c r="AB79" s="853"/>
      <c r="AC79" s="853"/>
      <c r="AD79" s="853"/>
    </row>
    <row customHeight="1" ht="45">
      <c r="A80" s="852"/>
      <c r="B80" s="906">
        <v>63</v>
      </c>
      <c r="C80" s="850" t="s">
        <v>2312</v>
      </c>
      <c r="D80" s="974"/>
      <c r="E80" s="850"/>
      <c r="F80" s="850"/>
      <c r="G80" s="850"/>
      <c r="H80" s="898"/>
      <c r="I80" s="1012">
        <f>INDEX(TEMPLATE_NUMBER_POINT_FHD,B80,MATCH(TEMPLATE_SPHERE,TEMPLATE_SPHERE_LIST_FOR_NOTE,0))</f>
        <v>0</v>
      </c>
      <c r="J80" s="1012">
        <f>INDEX(TEMPLATE_DATA_POINT_FHD,B80,MATCH(TEMPLATE_SPHERE,TEMPLATE_SPHERE_LIST_FOR_NOTE,0))</f>
        <v>0</v>
      </c>
      <c r="K80" s="1012">
        <f>INDEX(TEMPLATE_NOTE_POINT_FHD,B80,MATCH(TEMPLATE_SPHERE,TEMPLATE_SPHERE_LIST_FOR_NOTE,0))</f>
        <v>0</v>
      </c>
      <c r="L80" s="851" t="str">
        <f>IF(I80=0,"",I80)</f>
        <v/>
      </c>
      <c r="M80" s="851" t="str">
        <f>IF(J80=0,"",J80)</f>
        <v/>
      </c>
      <c r="N80" s="851" t="str">
        <f>IF(K80=0,"",K80)</f>
        <v/>
      </c>
      <c r="O80" s="964" t="s">
        <v>137</v>
      </c>
      <c r="P80" s="964"/>
      <c r="Q80" s="964"/>
      <c r="R80" s="964"/>
      <c r="S80" s="964"/>
      <c r="T80" s="850" t="s">
        <v>2336</v>
      </c>
      <c r="U80" s="850"/>
      <c r="V80" s="850"/>
      <c r="W80" s="850"/>
      <c r="X80" s="850"/>
      <c r="Y80" s="1007"/>
      <c r="Z80" s="853" t="s">
        <v>2337</v>
      </c>
      <c r="AA80" s="856"/>
      <c r="AB80" s="853"/>
      <c r="AC80" s="853"/>
      <c r="AD80" s="853"/>
    </row>
    <row customHeight="1" ht="36">
      <c r="A81" s="852"/>
      <c r="B81" s="906">
        <v>64</v>
      </c>
      <c r="C81" s="850" t="s">
        <v>2314</v>
      </c>
      <c r="D81" s="974"/>
      <c r="E81" s="850"/>
      <c r="F81" s="850"/>
      <c r="G81" s="850"/>
      <c r="H81" s="898"/>
      <c r="I81" s="1012">
        <f>INDEX(TEMPLATE_NUMBER_POINT_FHD,B81,MATCH(TEMPLATE_SPHERE,TEMPLATE_SPHERE_LIST_FOR_NOTE,0))</f>
        <v>0</v>
      </c>
      <c r="J81" s="1012">
        <f>INDEX(TEMPLATE_DATA_POINT_FHD,B81,MATCH(TEMPLATE_SPHERE,TEMPLATE_SPHERE_LIST_FOR_NOTE,0))</f>
        <v>0</v>
      </c>
      <c r="K81" s="1012">
        <f>INDEX(TEMPLATE_NOTE_POINT_FHD,B81,MATCH(TEMPLATE_SPHERE,TEMPLATE_SPHERE_LIST_FOR_NOTE,0))</f>
        <v>0</v>
      </c>
      <c r="L81" s="851" t="str">
        <f>IF(I81=0,"",I81)</f>
        <v/>
      </c>
      <c r="M81" s="851" t="str">
        <f>IF(J81=0,"",J81)</f>
        <v/>
      </c>
      <c r="N81" s="851" t="str">
        <f>IF(K81=0,"",K81)</f>
        <v/>
      </c>
      <c r="O81" s="964" t="s">
        <v>2220</v>
      </c>
      <c r="P81" s="964"/>
      <c r="Q81" s="964"/>
      <c r="R81" s="964"/>
      <c r="S81" s="964"/>
      <c r="T81" s="850" t="s">
        <v>2338</v>
      </c>
      <c r="U81" s="850"/>
      <c r="V81" s="850"/>
      <c r="W81" s="850"/>
      <c r="X81" s="850"/>
      <c r="Y81" s="1007"/>
      <c r="Z81" s="853" t="s">
        <v>2339</v>
      </c>
      <c r="AA81" s="856"/>
      <c r="AB81" s="853"/>
      <c r="AC81" s="853"/>
      <c r="AD81" s="853"/>
    </row>
    <row customHeight="1" ht="90">
      <c r="A82" s="852"/>
      <c r="B82" s="906">
        <v>65</v>
      </c>
      <c r="C82" s="850" t="s">
        <v>2323</v>
      </c>
      <c r="D82" s="974"/>
      <c r="E82" s="850"/>
      <c r="F82" s="850"/>
      <c r="G82" s="850"/>
      <c r="H82" s="898"/>
      <c r="I82" s="1012">
        <f>INDEX(TEMPLATE_NUMBER_POINT_FHD,B82,MATCH(TEMPLATE_SPHERE,TEMPLATE_SPHERE_LIST_FOR_NOTE,0))</f>
        <v>0</v>
      </c>
      <c r="J82" s="1012">
        <f>INDEX(TEMPLATE_DATA_POINT_FHD,B82,MATCH(TEMPLATE_SPHERE,TEMPLATE_SPHERE_LIST_FOR_NOTE,0))</f>
        <v>0</v>
      </c>
      <c r="K82" s="1012">
        <f>INDEX(TEMPLATE_NOTE_POINT_FHD,B82,MATCH(TEMPLATE_SPHERE,TEMPLATE_SPHERE_LIST_FOR_NOTE,0))</f>
        <v>0</v>
      </c>
      <c r="L82" s="851" t="str">
        <f>IF(I82=0,"",I82)</f>
        <v/>
      </c>
      <c r="M82" s="851" t="str">
        <f>IF(J82=0,"",J82)</f>
        <v/>
      </c>
      <c r="N82" s="851" t="str">
        <f>IF(K82=0,"",K82)</f>
        <v/>
      </c>
      <c r="O82" s="964" t="s">
        <v>142</v>
      </c>
      <c r="P82" s="964"/>
      <c r="Q82" s="964"/>
      <c r="R82" s="964"/>
      <c r="S82" s="964"/>
      <c r="T82" s="850" t="s">
        <v>2340</v>
      </c>
      <c r="U82" s="850"/>
      <c r="V82" s="850"/>
      <c r="W82" s="850"/>
      <c r="X82" s="850"/>
      <c r="Y82" s="1007"/>
      <c r="Z82" s="853" t="s">
        <v>2341</v>
      </c>
      <c r="AA82" s="856"/>
      <c r="AB82" s="853"/>
      <c r="AC82" s="853"/>
      <c r="AD82" s="853"/>
    </row>
    <row customHeight="1" ht="9">
      <c r="A83" s="852"/>
      <c r="B83" s="906">
        <v>66</v>
      </c>
      <c r="C83" s="850"/>
      <c r="D83" s="974"/>
      <c r="E83" s="850"/>
      <c r="F83" s="850"/>
      <c r="G83" s="850"/>
      <c r="H83" s="898"/>
      <c r="I83" s="1012">
        <f>INDEX(TEMPLATE_NUMBER_POINT_FHD,B83,MATCH(TEMPLATE_SPHERE,TEMPLATE_SPHERE_LIST_FOR_NOTE,0))</f>
        <v>0</v>
      </c>
      <c r="J83" s="1012">
        <f>INDEX(TEMPLATE_DATA_POINT_FHD,B83,MATCH(TEMPLATE_SPHERE,TEMPLATE_SPHERE_LIST_FOR_NOTE,0))</f>
        <v>0</v>
      </c>
      <c r="K83" s="1012">
        <f>INDEX(TEMPLATE_NOTE_POINT_FHD,B83,MATCH(TEMPLATE_SPHERE,TEMPLATE_SPHERE_LIST_FOR_NOTE,0))</f>
        <v>0</v>
      </c>
      <c r="L83" s="851" t="str">
        <f>IF(I83=0,"",I83)</f>
        <v/>
      </c>
      <c r="M83" s="851" t="str">
        <f>IF(J83=0,"",J83)</f>
        <v/>
      </c>
      <c r="N83" s="851" t="str">
        <f>IF(K83=0,"",K83)</f>
        <v/>
      </c>
      <c r="O83" s="964" t="s">
        <v>2229</v>
      </c>
      <c r="P83" s="964"/>
      <c r="Q83" s="964"/>
      <c r="R83" s="964"/>
      <c r="S83" s="964"/>
      <c r="T83" s="850" t="s">
        <v>2342</v>
      </c>
      <c r="U83" s="850"/>
      <c r="V83" s="850"/>
      <c r="W83" s="850"/>
      <c r="X83" s="850"/>
      <c r="Y83" s="1007"/>
      <c r="Z83" s="853"/>
      <c r="AA83" s="856"/>
      <c r="AB83" s="853"/>
      <c r="AC83" s="853"/>
      <c r="AD83" s="853"/>
    </row>
    <row customHeight="1" ht="54">
      <c r="A84" s="852"/>
      <c r="B84" s="906">
        <v>67</v>
      </c>
      <c r="C84" s="850"/>
      <c r="D84" s="974"/>
      <c r="E84" s="850"/>
      <c r="F84" s="850"/>
      <c r="G84" s="850"/>
      <c r="H84" s="898"/>
      <c r="I84" s="1012">
        <f>INDEX(TEMPLATE_NUMBER_POINT_FHD,B84,MATCH(TEMPLATE_SPHERE,TEMPLATE_SPHERE_LIST_FOR_NOTE,0))</f>
        <v>0</v>
      </c>
      <c r="J84" s="1012">
        <f>INDEX(TEMPLATE_DATA_POINT_FHD,B84,MATCH(TEMPLATE_SPHERE,TEMPLATE_SPHERE_LIST_FOR_NOTE,0))</f>
        <v>0</v>
      </c>
      <c r="K84" s="1012">
        <f>INDEX(TEMPLATE_NOTE_POINT_FHD,B84,MATCH(TEMPLATE_SPHERE,TEMPLATE_SPHERE_LIST_FOR_NOTE,0))</f>
        <v>0</v>
      </c>
      <c r="L84" s="851" t="str">
        <f>IF(I84=0,"",I84)</f>
        <v/>
      </c>
      <c r="M84" s="851" t="str">
        <f>IF(J84=0,"",J84)</f>
        <v/>
      </c>
      <c r="N84" s="851" t="str">
        <f>IF(K84=0,"",K84)</f>
        <v/>
      </c>
      <c r="O84" s="964" t="s">
        <v>2343</v>
      </c>
      <c r="P84" s="964"/>
      <c r="Q84" s="964"/>
      <c r="R84" s="964"/>
      <c r="S84" s="964"/>
      <c r="T84" s="850" t="s">
        <v>2344</v>
      </c>
      <c r="U84" s="850"/>
      <c r="V84" s="850"/>
      <c r="W84" s="850"/>
      <c r="X84" s="850"/>
      <c r="Y84" s="1007"/>
      <c r="Z84" s="853"/>
      <c r="AA84" s="856"/>
      <c r="AB84" s="853"/>
      <c r="AC84" s="853"/>
      <c r="AD84" s="853"/>
    </row>
    <row customHeight="1" ht="9">
      <c r="A85" s="852"/>
      <c r="B85" s="906">
        <v>68</v>
      </c>
      <c r="C85" s="850"/>
      <c r="D85" s="974"/>
      <c r="E85" s="850"/>
      <c r="F85" s="850"/>
      <c r="G85" s="850"/>
      <c r="H85" s="898"/>
      <c r="I85" s="1012">
        <f>INDEX(TEMPLATE_NUMBER_POINT_FHD,B85,MATCH(TEMPLATE_SPHERE,TEMPLATE_SPHERE_LIST_FOR_NOTE,0))</f>
        <v>0</v>
      </c>
      <c r="J85" s="1012">
        <f>INDEX(TEMPLATE_DATA_POINT_FHD,B85,MATCH(TEMPLATE_SPHERE,TEMPLATE_SPHERE_LIST_FOR_NOTE,0))</f>
        <v>0</v>
      </c>
      <c r="K85" s="1012">
        <f>INDEX(TEMPLATE_NOTE_POINT_FHD,B85,MATCH(TEMPLATE_SPHERE,TEMPLATE_SPHERE_LIST_FOR_NOTE,0))</f>
        <v>0</v>
      </c>
      <c r="L85" s="851" t="str">
        <f>IF(I85=0,"",I85)</f>
        <v/>
      </c>
      <c r="M85" s="851" t="str">
        <f>IF(J85=0,"",J85)</f>
        <v/>
      </c>
      <c r="N85" s="851" t="str">
        <f>IF(K85=0,"",K85)</f>
        <v/>
      </c>
      <c r="O85" s="964" t="s">
        <v>2233</v>
      </c>
      <c r="P85" s="964"/>
      <c r="Q85" s="964"/>
      <c r="R85" s="964"/>
      <c r="S85" s="964"/>
      <c r="T85" s="850" t="s">
        <v>2345</v>
      </c>
      <c r="U85" s="850"/>
      <c r="V85" s="850"/>
      <c r="W85" s="850"/>
      <c r="X85" s="850"/>
      <c r="Y85" s="1007"/>
      <c r="Z85" s="853"/>
      <c r="AA85" s="856"/>
      <c r="AB85" s="853"/>
      <c r="AC85" s="853"/>
      <c r="AD85" s="853"/>
    </row>
    <row customHeight="1" ht="27">
      <c r="A86" s="852"/>
      <c r="B86" s="906">
        <v>69</v>
      </c>
      <c r="C86" s="850"/>
      <c r="D86" s="974"/>
      <c r="E86" s="850"/>
      <c r="F86" s="850"/>
      <c r="G86" s="850"/>
      <c r="H86" s="898"/>
      <c r="I86" s="1012">
        <f>INDEX(TEMPLATE_NUMBER_POINT_FHD,B86,MATCH(TEMPLATE_SPHERE,TEMPLATE_SPHERE_LIST_FOR_NOTE,0))</f>
        <v>0</v>
      </c>
      <c r="J86" s="1012">
        <f>INDEX(TEMPLATE_DATA_POINT_FHD,B86,MATCH(TEMPLATE_SPHERE,TEMPLATE_SPHERE_LIST_FOR_NOTE,0))</f>
        <v>0</v>
      </c>
      <c r="K86" s="1012">
        <f>INDEX(TEMPLATE_NOTE_POINT_FHD,B86,MATCH(TEMPLATE_SPHERE,TEMPLATE_SPHERE_LIST_FOR_NOTE,0))</f>
        <v>0</v>
      </c>
      <c r="L86" s="851" t="str">
        <f>IF(I86=0,"",I86)</f>
        <v/>
      </c>
      <c r="M86" s="851" t="str">
        <f>IF(J86=0,"",J86)</f>
        <v/>
      </c>
      <c r="N86" s="851" t="str">
        <f>IF(K86=0,"",K86)</f>
        <v/>
      </c>
      <c r="O86" s="964" t="s">
        <v>2346</v>
      </c>
      <c r="P86" s="964"/>
      <c r="Q86" s="964"/>
      <c r="R86" s="964"/>
      <c r="S86" s="964"/>
      <c r="T86" s="850" t="s">
        <v>2347</v>
      </c>
      <c r="U86" s="850"/>
      <c r="V86" s="850"/>
      <c r="W86" s="850"/>
      <c r="X86" s="850"/>
      <c r="Y86" s="1007"/>
      <c r="Z86" s="853"/>
      <c r="AA86" s="856"/>
      <c r="AB86" s="853"/>
      <c r="AC86" s="853"/>
      <c r="AD86" s="853"/>
    </row>
    <row customHeight="1" ht="36">
      <c r="A87" s="852"/>
      <c r="B87" s="906">
        <v>70</v>
      </c>
      <c r="C87" s="850" t="s">
        <v>2348</v>
      </c>
      <c r="D87" s="974"/>
      <c r="E87" s="850"/>
      <c r="F87" s="850"/>
      <c r="G87" s="850"/>
      <c r="H87" s="898"/>
      <c r="I87" s="1012">
        <f>INDEX(TEMPLATE_NUMBER_POINT_FHD,B87,MATCH(TEMPLATE_SPHERE,TEMPLATE_SPHERE_LIST_FOR_NOTE,0))</f>
        <v>0</v>
      </c>
      <c r="J87" s="1012">
        <f>INDEX(TEMPLATE_DATA_POINT_FHD,B87,MATCH(TEMPLATE_SPHERE,TEMPLATE_SPHERE_LIST_FOR_NOTE,0))</f>
        <v>0</v>
      </c>
      <c r="K87" s="1012">
        <f>INDEX(TEMPLATE_NOTE_POINT_FHD,B87,MATCH(TEMPLATE_SPHERE,TEMPLATE_SPHERE_LIST_FOR_NOTE,0))</f>
        <v>0</v>
      </c>
      <c r="L87" s="851" t="str">
        <f>IF(I87=0,"",I87)</f>
        <v/>
      </c>
      <c r="M87" s="851" t="str">
        <f>IF(J87=0,"",J87)</f>
        <v/>
      </c>
      <c r="N87" s="851" t="str">
        <f>IF(K87=0,"",K87)</f>
        <v/>
      </c>
      <c r="O87" s="964" t="s">
        <v>147</v>
      </c>
      <c r="P87" s="964"/>
      <c r="Q87" s="964"/>
      <c r="R87" s="964"/>
      <c r="S87" s="964"/>
      <c r="T87" s="850" t="s">
        <v>2349</v>
      </c>
      <c r="U87" s="850"/>
      <c r="V87" s="850"/>
      <c r="W87" s="850"/>
      <c r="X87" s="850"/>
      <c r="Y87" s="1007"/>
      <c r="Z87" s="853"/>
      <c r="AA87" s="856"/>
      <c r="AB87" s="853"/>
      <c r="AC87" s="853"/>
      <c r="AD87" s="853"/>
    </row>
    <row customHeight="1" ht="18">
      <c r="A88" s="852"/>
      <c r="B88" s="906">
        <v>71</v>
      </c>
      <c r="C88" s="850" t="s">
        <v>2350</v>
      </c>
      <c r="D88" s="974"/>
      <c r="E88" s="850"/>
      <c r="F88" s="850"/>
      <c r="G88" s="850"/>
      <c r="H88" s="898"/>
      <c r="I88" s="1012">
        <f>INDEX(TEMPLATE_NUMBER_POINT_FHD,B88,MATCH(TEMPLATE_SPHERE,TEMPLATE_SPHERE_LIST_FOR_NOTE,0))</f>
        <v>0</v>
      </c>
      <c r="J88" s="1012">
        <f>INDEX(TEMPLATE_DATA_POINT_FHD,B88,MATCH(TEMPLATE_SPHERE,TEMPLATE_SPHERE_LIST_FOR_NOTE,0))</f>
        <v>0</v>
      </c>
      <c r="K88" s="1012">
        <f>INDEX(TEMPLATE_NOTE_POINT_FHD,B88,MATCH(TEMPLATE_SPHERE,TEMPLATE_SPHERE_LIST_FOR_NOTE,0))</f>
        <v>0</v>
      </c>
      <c r="L88" s="851" t="str">
        <f>IF(I88=0,"",I88)</f>
        <v/>
      </c>
      <c r="M88" s="851" t="str">
        <f>IF(J88=0,"",J88)</f>
        <v/>
      </c>
      <c r="N88" s="851" t="str">
        <f>IF(K88=0,"",K88)</f>
        <v/>
      </c>
      <c r="O88" s="964" t="s">
        <v>152</v>
      </c>
      <c r="P88" s="964"/>
      <c r="Q88" s="964"/>
      <c r="R88" s="964"/>
      <c r="S88" s="964"/>
      <c r="T88" s="850" t="s">
        <v>828</v>
      </c>
      <c r="U88" s="850"/>
      <c r="V88" s="850"/>
      <c r="W88" s="850"/>
      <c r="X88" s="850"/>
      <c r="Y88" s="1007"/>
      <c r="Z88" s="853"/>
      <c r="AA88" s="856"/>
      <c r="AB88" s="853"/>
      <c r="AC88" s="853"/>
      <c r="AD88" s="853"/>
    </row>
    <row customHeight="1" ht="18">
      <c r="A89" s="852"/>
      <c r="B89" s="906">
        <v>72</v>
      </c>
      <c r="C89" s="850" t="s">
        <v>2351</v>
      </c>
      <c r="D89" s="974" t="s">
        <v>2348</v>
      </c>
      <c r="E89" s="850" t="s">
        <v>2348</v>
      </c>
      <c r="F89" s="850" t="s">
        <v>2314</v>
      </c>
      <c r="G89" s="850"/>
      <c r="H89" s="898"/>
      <c r="I89" s="1012" t="str">
        <f>INDEX(TEMPLATE_NUMBER_POINT_FHD,B89,MATCH(TEMPLATE_SPHERE,TEMPLATE_SPHERE_LIST_FOR_NOTE,0))</f>
        <v>12</v>
      </c>
      <c r="J89" s="1012" t="str">
        <f>INDEX(TEMPLATE_DATA_POINT_FHD,B89,MATCH(TEMPLATE_SPHERE,TEMPLATE_SPHERE_LIST_FOR_NOTE,0))</f>
        <v>Среднесписочная численность основного производственного персонала</v>
      </c>
      <c r="K89" s="1012">
        <f>INDEX(TEMPLATE_NOTE_POINT_FHD,B89,MATCH(TEMPLATE_SPHERE,TEMPLATE_SPHERE_LIST_FOR_NOTE,0))</f>
        <v>0</v>
      </c>
      <c r="L89" s="851" t="str">
        <f>IF(I89=0,"",I89)</f>
        <v>12</v>
      </c>
      <c r="M89" s="851" t="str">
        <f>IF(J89=0,"",J89)</f>
        <v>Среднесписочная численность основного производственного персонала</v>
      </c>
      <c r="N89" s="851" t="str">
        <f>IF(K89=0,"",K89)</f>
        <v/>
      </c>
      <c r="O89" s="964" t="s">
        <v>157</v>
      </c>
      <c r="P89" s="964" t="s">
        <v>152</v>
      </c>
      <c r="Q89" s="964" t="s">
        <v>152</v>
      </c>
      <c r="R89" s="964" t="s">
        <v>142</v>
      </c>
      <c r="S89" s="964"/>
      <c r="T89" s="850" t="s">
        <v>836</v>
      </c>
      <c r="U89" s="850" t="s">
        <v>836</v>
      </c>
      <c r="V89" s="850" t="s">
        <v>836</v>
      </c>
      <c r="W89" s="850" t="s">
        <v>836</v>
      </c>
      <c r="X89" s="850"/>
      <c r="Y89" s="1007"/>
      <c r="Z89" s="853"/>
      <c r="AA89" s="856"/>
      <c r="AB89" s="853"/>
      <c r="AC89" s="853"/>
      <c r="AD89" s="853"/>
    </row>
    <row customHeight="1" ht="27">
      <c r="A90" s="852"/>
      <c r="B90" s="906">
        <v>73</v>
      </c>
      <c r="C90" s="850" t="s">
        <v>2352</v>
      </c>
      <c r="D90" s="974"/>
      <c r="E90" s="850"/>
      <c r="F90" s="850"/>
      <c r="G90" s="850"/>
      <c r="H90" s="898"/>
      <c r="I90" s="1012">
        <f>INDEX(TEMPLATE_NUMBER_POINT_FHD,B90,MATCH(TEMPLATE_SPHERE,TEMPLATE_SPHERE_LIST_FOR_NOTE,0))</f>
        <v>0</v>
      </c>
      <c r="J90" s="1012">
        <f>INDEX(TEMPLATE_DATA_POINT_FHD,B90,MATCH(TEMPLATE_SPHERE,TEMPLATE_SPHERE_LIST_FOR_NOTE,0))</f>
        <v>0</v>
      </c>
      <c r="K90" s="1012">
        <f>INDEX(TEMPLATE_NOTE_POINT_FHD,B90,MATCH(TEMPLATE_SPHERE,TEMPLATE_SPHERE_LIST_FOR_NOTE,0))</f>
        <v>0</v>
      </c>
      <c r="L90" s="851" t="str">
        <f>IF(I90=0,"",I90)</f>
        <v/>
      </c>
      <c r="M90" s="851" t="str">
        <f>IF(J90=0,"",J90)</f>
        <v/>
      </c>
      <c r="N90" s="851" t="str">
        <f>IF(K90=0,"",K90)</f>
        <v/>
      </c>
      <c r="O90" s="964" t="s">
        <v>162</v>
      </c>
      <c r="P90" s="964"/>
      <c r="Q90" s="964"/>
      <c r="R90" s="964"/>
      <c r="S90" s="964"/>
      <c r="T90" s="850" t="s">
        <v>838</v>
      </c>
      <c r="U90" s="850"/>
      <c r="V90" s="850"/>
      <c r="W90" s="850"/>
      <c r="X90" s="850"/>
      <c r="Y90" s="1007"/>
      <c r="Z90" s="853"/>
      <c r="AA90" s="856"/>
      <c r="AB90" s="853"/>
      <c r="AC90" s="853"/>
      <c r="AD90" s="853"/>
    </row>
    <row customHeight="1" ht="18">
      <c r="A91" s="852"/>
      <c r="B91" s="906">
        <v>74</v>
      </c>
      <c r="C91" s="850"/>
      <c r="D91" s="974" t="s">
        <v>2350</v>
      </c>
      <c r="E91" s="850" t="s">
        <v>2350</v>
      </c>
      <c r="F91" s="850"/>
      <c r="G91" s="850"/>
      <c r="H91" s="898"/>
      <c r="I91" s="1012" t="str">
        <f>INDEX(TEMPLATE_NUMBER_POINT_FHD,B91,MATCH(TEMPLATE_SPHERE,TEMPLATE_SPHERE_LIST_FOR_NOTE,0))</f>
        <v>13</v>
      </c>
      <c r="J91" s="1012" t="str">
        <f>INDEX(TEMPLATE_DATA_POINT_FHD,B91,MATCH(TEMPLATE_SPHERE,TEMPLATE_SPHERE_LIST_FOR_NOTE,0))</f>
        <v>Удельный расход электрической энергии на подачу воды в сеть</v>
      </c>
      <c r="K91" s="1012">
        <f>INDEX(TEMPLATE_NOTE_POINT_FHD,B91,MATCH(TEMPLATE_SPHERE,TEMPLATE_SPHERE_LIST_FOR_NOTE,0))</f>
        <v>0</v>
      </c>
      <c r="L91" s="851" t="str">
        <f>IF(I91=0,"",I91)</f>
        <v>13</v>
      </c>
      <c r="M91" s="851" t="str">
        <f>IF(J91=0,"",J91)</f>
        <v>Удельный расход электрической энергии на подачу воды в сеть</v>
      </c>
      <c r="N91" s="851" t="str">
        <f>IF(K91=0,"",K91)</f>
        <v/>
      </c>
      <c r="O91" s="964"/>
      <c r="P91" s="964" t="s">
        <v>157</v>
      </c>
      <c r="Q91" s="964" t="s">
        <v>157</v>
      </c>
      <c r="R91" s="964"/>
      <c r="S91" s="964"/>
      <c r="T91" s="850"/>
      <c r="U91" s="850" t="s">
        <v>2353</v>
      </c>
      <c r="V91" s="850" t="s">
        <v>2353</v>
      </c>
      <c r="W91" s="850"/>
      <c r="X91" s="850"/>
      <c r="Y91" s="1007"/>
      <c r="Z91" s="853"/>
      <c r="AA91" s="856"/>
      <c r="AB91" s="853"/>
      <c r="AC91" s="853"/>
      <c r="AD91" s="853"/>
    </row>
    <row customHeight="1" ht="27">
      <c r="A92" s="852"/>
      <c r="B92" s="906">
        <v>75</v>
      </c>
      <c r="C92" s="850"/>
      <c r="D92" s="974" t="s">
        <v>2351</v>
      </c>
      <c r="E92" s="850"/>
      <c r="F92" s="850"/>
      <c r="G92" s="850"/>
      <c r="H92" s="898"/>
      <c r="I92" s="1012" t="str">
        <f>INDEX(TEMPLATE_NUMBER_POINT_FHD,B92,MATCH(TEMPLATE_SPHERE,TEMPLATE_SPHERE_LIST_FOR_NOTE,0))</f>
        <v>14</v>
      </c>
      <c r="J92" s="1012" t="str">
        <f>INDEX(TEMPLATE_DATA_POINT_FHD,B92,MATCH(TEMPLATE_SPHERE,TEMPLATE_SPHERE_LIST_FOR_NOTE,0))</f>
        <v>Расход воды на собственные нужды, в том числе:</v>
      </c>
      <c r="K92" s="1012" t="str">
        <f>INDEX(TEMPLATE_NOTE_POINT_FHD,B92,MATCH(TEMPLATE_SPHERE,TEMPLATE_SPHERE_LIST_FOR_NOTE,0))</f>
        <v>Указывается доля общего расхода воды на собственные нужны от объема отпуска воды потребителям.</v>
      </c>
      <c r="L92" s="851" t="str">
        <f>IF(I92=0,"",I92)</f>
        <v>14</v>
      </c>
      <c r="M92" s="851" t="str">
        <f>IF(J92=0,"",J92)</f>
        <v>Расход воды на собственные нужды, в том числе:</v>
      </c>
      <c r="N92" s="851" t="str">
        <f>IF(K92=0,"",K92)</f>
        <v>Указывается доля общего расхода воды на собственные нужны от объема отпуска воды потребителям.</v>
      </c>
      <c r="O92" s="964"/>
      <c r="P92" s="964" t="s">
        <v>162</v>
      </c>
      <c r="Q92" s="964"/>
      <c r="R92" s="964"/>
      <c r="S92" s="964"/>
      <c r="T92" s="850"/>
      <c r="U92" s="850" t="s">
        <v>2354</v>
      </c>
      <c r="V92" s="850"/>
      <c r="W92" s="850"/>
      <c r="X92" s="850"/>
      <c r="Y92" s="1007"/>
      <c r="Z92" s="853"/>
      <c r="AA92" s="856" t="s">
        <v>2355</v>
      </c>
      <c r="AB92" s="853"/>
      <c r="AC92" s="853"/>
      <c r="AD92" s="853"/>
    </row>
    <row customHeight="1" ht="27">
      <c r="A93" s="852"/>
      <c r="B93" s="906">
        <v>76</v>
      </c>
      <c r="C93" s="850"/>
      <c r="D93" s="974"/>
      <c r="E93" s="850"/>
      <c r="F93" s="850"/>
      <c r="G93" s="850"/>
      <c r="H93" s="898"/>
      <c r="I93" s="1012" t="str">
        <f>INDEX(TEMPLATE_NUMBER_POINT_FHD,B93,MATCH(TEMPLATE_SPHERE,TEMPLATE_SPHERE_LIST_FOR_NOTE,0))</f>
        <v>14.1</v>
      </c>
      <c r="J93" s="1012" t="str">
        <f>INDEX(TEMPLATE_DATA_POINT_FHD,B93,MATCH(TEMPLATE_SPHERE,TEMPLATE_SPHERE_LIST_FOR_NOTE,0))</f>
        <v>Расход воды на хозяйственно-бытовые нужды</v>
      </c>
      <c r="K93" s="1012"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51" t="str">
        <f>IF(I93=0,"",I93)</f>
        <v>14.1</v>
      </c>
      <c r="M93" s="851" t="str">
        <f>IF(J93=0,"",J93)</f>
        <v>Расход воды на хозяйственно-бытовые нужды</v>
      </c>
      <c r="N93" s="851" t="str">
        <f>IF(K93=0,"",K93)</f>
        <v>Указывается доля расхода воды на хозяйственно-бытовые нужны от объема отпуска воды потребителям.</v>
      </c>
      <c r="O93" s="964"/>
      <c r="P93" s="964" t="s">
        <v>2261</v>
      </c>
      <c r="Q93" s="964"/>
      <c r="R93" s="964"/>
      <c r="S93" s="964"/>
      <c r="T93" s="850"/>
      <c r="U93" s="850" t="s">
        <v>2356</v>
      </c>
      <c r="V93" s="850"/>
      <c r="W93" s="850"/>
      <c r="X93" s="850"/>
      <c r="Y93" s="1007"/>
      <c r="Z93" s="853"/>
      <c r="AA93" s="856" t="s">
        <v>2357</v>
      </c>
      <c r="AB93" s="853"/>
      <c r="AC93" s="853"/>
      <c r="AD93" s="853"/>
    </row>
    <row customHeight="1" ht="45">
      <c r="A94" s="852"/>
      <c r="B94" s="906">
        <v>77</v>
      </c>
      <c r="C94" s="850"/>
      <c r="D94" s="974" t="s">
        <v>2352</v>
      </c>
      <c r="E94" s="850"/>
      <c r="F94" s="850"/>
      <c r="G94" s="850"/>
      <c r="H94" s="898"/>
      <c r="I94" s="1012" t="str">
        <f>INDEX(TEMPLATE_NUMBER_POINT_FHD,B94,MATCH(TEMPLATE_SPHERE,TEMPLATE_SPHERE_LIST_FOR_NOTE,0))</f>
        <v>15</v>
      </c>
      <c r="J94" s="1012" t="str">
        <f>INDEX(TEMPLATE_DATA_POINT_FHD,B94,MATCH(TEMPLATE_SPHERE,TEMPLATE_SPHERE_LIST_FOR_NOTE,0))</f>
        <v>Показатель использования производственных объектов (по объему перекачки), в том числе:</v>
      </c>
      <c r="K94" s="1012"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51" t="str">
        <f>IF(I94=0,"",I94)</f>
        <v>15</v>
      </c>
      <c r="M94" s="851" t="str">
        <f>IF(J94=0,"",J94)</f>
        <v>Показатель использования производственных объектов (по объему перекачки), в том числе:</v>
      </c>
      <c r="N94" s="851"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64"/>
      <c r="P94" s="964" t="s">
        <v>167</v>
      </c>
      <c r="Q94" s="964"/>
      <c r="R94" s="964"/>
      <c r="S94" s="964"/>
      <c r="T94" s="850"/>
      <c r="U94" s="850" t="s">
        <v>2358</v>
      </c>
      <c r="V94" s="850"/>
      <c r="W94" s="850"/>
      <c r="X94" s="850"/>
      <c r="Y94" s="1007"/>
      <c r="Z94" s="853"/>
      <c r="AA94" s="856" t="s">
        <v>2359</v>
      </c>
      <c r="AB94" s="853"/>
      <c r="AC94" s="853"/>
      <c r="AD94" s="853"/>
    </row>
    <row customHeight="1" ht="99">
      <c r="A95" s="852"/>
      <c r="B95" s="906">
        <v>78</v>
      </c>
      <c r="C95" s="850" t="s">
        <v>2360</v>
      </c>
      <c r="D95" s="974"/>
      <c r="E95" s="850"/>
      <c r="F95" s="850"/>
      <c r="G95" s="850"/>
      <c r="H95" s="898"/>
      <c r="I95" s="1012">
        <f>INDEX(TEMPLATE_NUMBER_POINT_FHD,B95,MATCH(TEMPLATE_SPHERE,TEMPLATE_SPHERE_LIST_FOR_NOTE,0))</f>
        <v>0</v>
      </c>
      <c r="J95" s="1012">
        <f>INDEX(TEMPLATE_DATA_POINT_FHD,B95,MATCH(TEMPLATE_SPHERE,TEMPLATE_SPHERE_LIST_FOR_NOTE,0))</f>
        <v>0</v>
      </c>
      <c r="K95" s="1012">
        <f>INDEX(TEMPLATE_NOTE_POINT_FHD,B95,MATCH(TEMPLATE_SPHERE,TEMPLATE_SPHERE_LIST_FOR_NOTE,0))</f>
        <v>0</v>
      </c>
      <c r="L95" s="851" t="str">
        <f>IF(I95=0,"",I95)</f>
        <v/>
      </c>
      <c r="M95" s="851" t="str">
        <f>IF(J95=0,"",J95)</f>
        <v/>
      </c>
      <c r="N95" s="851" t="str">
        <f>IF(K95=0,"",K95)</f>
        <v/>
      </c>
      <c r="O95" s="964" t="s">
        <v>167</v>
      </c>
      <c r="P95" s="964"/>
      <c r="Q95" s="964"/>
      <c r="R95" s="964"/>
      <c r="S95" s="964"/>
      <c r="T95" s="850" t="s">
        <v>2361</v>
      </c>
      <c r="U95" s="850"/>
      <c r="V95" s="850"/>
      <c r="W95" s="850"/>
      <c r="X95" s="850"/>
      <c r="Y95" s="1007"/>
      <c r="Z95" s="853"/>
      <c r="AA95" s="856"/>
      <c r="AB95" s="853"/>
      <c r="AC95" s="853"/>
      <c r="AD95" s="853"/>
    </row>
    <row customHeight="1" ht="99">
      <c r="A96" s="852"/>
      <c r="B96" s="906">
        <v>79</v>
      </c>
      <c r="C96" s="850" t="s">
        <v>1309</v>
      </c>
      <c r="D96" s="974"/>
      <c r="E96" s="850"/>
      <c r="F96" s="850"/>
      <c r="G96" s="850"/>
      <c r="H96" s="898"/>
      <c r="I96" s="1012">
        <f>INDEX(TEMPLATE_NUMBER_POINT_FHD,B96,MATCH(TEMPLATE_SPHERE,TEMPLATE_SPHERE_LIST_FOR_NOTE,0))</f>
        <v>0</v>
      </c>
      <c r="J96" s="1012">
        <f>INDEX(TEMPLATE_DATA_POINT_FHD,B96,MATCH(TEMPLATE_SPHERE,TEMPLATE_SPHERE_LIST_FOR_NOTE,0))</f>
        <v>0</v>
      </c>
      <c r="K96" s="1012">
        <f>INDEX(TEMPLATE_NOTE_POINT_FHD,B96,MATCH(TEMPLATE_SPHERE,TEMPLATE_SPHERE_LIST_FOR_NOTE,0))</f>
        <v>0</v>
      </c>
      <c r="L96" s="851" t="str">
        <f>IF(I96=0,"",I96)</f>
        <v/>
      </c>
      <c r="M96" s="851" t="str">
        <f>IF(J96=0,"",J96)</f>
        <v/>
      </c>
      <c r="N96" s="851" t="str">
        <f>IF(K96=0,"",K96)</f>
        <v/>
      </c>
      <c r="O96" s="964" t="s">
        <v>172</v>
      </c>
      <c r="P96" s="964"/>
      <c r="Q96" s="964"/>
      <c r="R96" s="964"/>
      <c r="S96" s="964"/>
      <c r="T96" s="850" t="s">
        <v>2362</v>
      </c>
      <c r="U96" s="850"/>
      <c r="V96" s="850"/>
      <c r="W96" s="850"/>
      <c r="X96" s="850"/>
      <c r="Y96" s="1007"/>
      <c r="Z96" s="853" t="s">
        <v>2363</v>
      </c>
      <c r="AA96" s="856"/>
      <c r="AB96" s="853"/>
      <c r="AC96" s="853"/>
      <c r="AD96" s="853"/>
    </row>
    <row customHeight="1" ht="63">
      <c r="A97" s="852"/>
      <c r="B97" s="906">
        <v>80</v>
      </c>
      <c r="C97" s="850" t="s">
        <v>2364</v>
      </c>
      <c r="D97" s="974"/>
      <c r="E97" s="850"/>
      <c r="F97" s="850"/>
      <c r="G97" s="850"/>
      <c r="H97" s="898"/>
      <c r="I97" s="1012">
        <f>INDEX(TEMPLATE_NUMBER_POINT_FHD,B97,MATCH(TEMPLATE_SPHERE,TEMPLATE_SPHERE_LIST_FOR_NOTE,0))</f>
        <v>0</v>
      </c>
      <c r="J97" s="1012">
        <f>INDEX(TEMPLATE_DATA_POINT_FHD,B97,MATCH(TEMPLATE_SPHERE,TEMPLATE_SPHERE_LIST_FOR_NOTE,0))</f>
        <v>0</v>
      </c>
      <c r="K97" s="1012">
        <f>INDEX(TEMPLATE_NOTE_POINT_FHD,B97,MATCH(TEMPLATE_SPHERE,TEMPLATE_SPHERE_LIST_FOR_NOTE,0))</f>
        <v>0</v>
      </c>
      <c r="L97" s="851" t="str">
        <f>IF(I97=0,"",I97)</f>
        <v/>
      </c>
      <c r="M97" s="851" t="str">
        <f>IF(J97=0,"",J97)</f>
        <v/>
      </c>
      <c r="N97" s="851" t="str">
        <f>IF(K97=0,"",K97)</f>
        <v/>
      </c>
      <c r="O97" s="964" t="s">
        <v>177</v>
      </c>
      <c r="P97" s="964"/>
      <c r="Q97" s="964"/>
      <c r="R97" s="964"/>
      <c r="S97" s="964"/>
      <c r="T97" s="850" t="s">
        <v>2365</v>
      </c>
      <c r="U97" s="850"/>
      <c r="V97" s="850"/>
      <c r="W97" s="850"/>
      <c r="X97" s="850"/>
      <c r="Y97" s="1007"/>
      <c r="Z97" s="853" t="s">
        <v>2366</v>
      </c>
      <c r="AA97" s="856"/>
      <c r="AB97" s="853"/>
      <c r="AC97" s="853"/>
      <c r="AD97" s="853"/>
    </row>
    <row customHeight="1" ht="63">
      <c r="A98" s="852"/>
      <c r="B98" s="906">
        <v>81</v>
      </c>
      <c r="C98" s="850" t="s">
        <v>2367</v>
      </c>
      <c r="D98" s="974"/>
      <c r="E98" s="850"/>
      <c r="F98" s="850"/>
      <c r="G98" s="850"/>
      <c r="H98" s="898"/>
      <c r="I98" s="1012">
        <f>INDEX(TEMPLATE_NUMBER_POINT_FHD,B98,MATCH(TEMPLATE_SPHERE,TEMPLATE_SPHERE_LIST_FOR_NOTE,0))</f>
        <v>0</v>
      </c>
      <c r="J98" s="1012">
        <f>INDEX(TEMPLATE_DATA_POINT_FHD,B98,MATCH(TEMPLATE_SPHERE,TEMPLATE_SPHERE_LIST_FOR_NOTE,0))</f>
        <v>0</v>
      </c>
      <c r="K98" s="1012">
        <f>INDEX(TEMPLATE_NOTE_POINT_FHD,B98,MATCH(TEMPLATE_SPHERE,TEMPLATE_SPHERE_LIST_FOR_NOTE,0))</f>
        <v>0</v>
      </c>
      <c r="L98" s="851" t="str">
        <f>IF(I98=0,"",I98)</f>
        <v/>
      </c>
      <c r="M98" s="851" t="str">
        <f>IF(J98=0,"",J98)</f>
        <v/>
      </c>
      <c r="N98" s="851" t="str">
        <f>IF(K98=0,"",K98)</f>
        <v/>
      </c>
      <c r="O98" s="964" t="s">
        <v>182</v>
      </c>
      <c r="P98" s="964"/>
      <c r="Q98" s="964"/>
      <c r="R98" s="964"/>
      <c r="S98" s="964"/>
      <c r="T98" s="850" t="s">
        <v>2368</v>
      </c>
      <c r="U98" s="850"/>
      <c r="V98" s="850"/>
      <c r="W98" s="850"/>
      <c r="X98" s="850"/>
      <c r="Y98" s="1007"/>
      <c r="Z98" s="853" t="s">
        <v>2366</v>
      </c>
      <c r="AA98" s="856"/>
      <c r="AB98" s="853"/>
      <c r="AC98" s="853"/>
      <c r="AD98" s="853"/>
    </row>
    <row customHeight="1" ht="90">
      <c r="A99" s="852"/>
      <c r="B99" s="906">
        <v>82</v>
      </c>
      <c r="C99" s="850" t="s">
        <v>2369</v>
      </c>
      <c r="D99" s="974"/>
      <c r="E99" s="850"/>
      <c r="F99" s="850"/>
      <c r="G99" s="850"/>
      <c r="H99" s="898"/>
      <c r="I99" s="1012">
        <f>INDEX(TEMPLATE_NUMBER_POINT_FHD,B99,MATCH(TEMPLATE_SPHERE,TEMPLATE_SPHERE_LIST_FOR_NOTE,0))</f>
        <v>0</v>
      </c>
      <c r="J99" s="1012">
        <f>INDEX(TEMPLATE_DATA_POINT_FHD,B99,MATCH(TEMPLATE_SPHERE,TEMPLATE_SPHERE_LIST_FOR_NOTE,0))</f>
        <v>0</v>
      </c>
      <c r="K99" s="1012">
        <f>INDEX(TEMPLATE_NOTE_POINT_FHD,B99,MATCH(TEMPLATE_SPHERE,TEMPLATE_SPHERE_LIST_FOR_NOTE,0))</f>
        <v>0</v>
      </c>
      <c r="L99" s="851" t="str">
        <f>IF(I99=0,"",I99)</f>
        <v/>
      </c>
      <c r="M99" s="851" t="str">
        <f>IF(J99=0,"",J99)</f>
        <v/>
      </c>
      <c r="N99" s="851" t="str">
        <f>IF(K99=0,"",K99)</f>
        <v/>
      </c>
      <c r="O99" s="964" t="s">
        <v>184</v>
      </c>
      <c r="P99" s="964"/>
      <c r="Q99" s="964"/>
      <c r="R99" s="964"/>
      <c r="S99" s="964"/>
      <c r="T99" s="850" t="s">
        <v>2370</v>
      </c>
      <c r="U99" s="850"/>
      <c r="V99" s="850"/>
      <c r="W99" s="850"/>
      <c r="X99" s="850"/>
      <c r="Y99" s="1007"/>
      <c r="Z99" s="853" t="s">
        <v>793</v>
      </c>
      <c r="AA99" s="856"/>
      <c r="AB99" s="853"/>
      <c r="AC99" s="853"/>
      <c r="AD99" s="853"/>
    </row>
    <row customHeight="1" ht="27">
      <c r="A100" s="852"/>
      <c r="B100" s="906">
        <v>83</v>
      </c>
      <c r="C100" s="850"/>
      <c r="D100" s="974"/>
      <c r="E100" s="850"/>
      <c r="F100" s="850"/>
      <c r="G100" s="850"/>
      <c r="H100" s="898"/>
      <c r="I100" s="1012">
        <f>INDEX(TEMPLATE_NUMBER_POINT_FHD,B100,MATCH(TEMPLATE_SPHERE,TEMPLATE_SPHERE_LIST_FOR_NOTE,0))</f>
        <v>0</v>
      </c>
      <c r="J100" s="1012">
        <f>INDEX(TEMPLATE_DATA_POINT_FHD,B100,MATCH(TEMPLATE_SPHERE,TEMPLATE_SPHERE_LIST_FOR_NOTE,0))</f>
        <v>0</v>
      </c>
      <c r="K100" s="1012">
        <f>INDEX(TEMPLATE_NOTE_POINT_FHD,B100,MATCH(TEMPLATE_SPHERE,TEMPLATE_SPHERE_LIST_FOR_NOTE,0))</f>
        <v>0</v>
      </c>
      <c r="L100" s="851" t="str">
        <f>IF(I100=0,"",I100)</f>
        <v/>
      </c>
      <c r="M100" s="851" t="str">
        <f>IF(J100=0,"",J100)</f>
        <v/>
      </c>
      <c r="N100" s="851" t="str">
        <f>IF(K100=0,"",K100)</f>
        <v/>
      </c>
      <c r="O100" s="964" t="s">
        <v>2371</v>
      </c>
      <c r="P100" s="964"/>
      <c r="Q100" s="964"/>
      <c r="R100" s="964"/>
      <c r="S100" s="964"/>
      <c r="T100" s="850" t="s">
        <v>2372</v>
      </c>
      <c r="U100" s="850"/>
      <c r="V100" s="850"/>
      <c r="W100" s="850"/>
      <c r="X100" s="850"/>
      <c r="Y100" s="1007"/>
      <c r="Z100" s="853" t="s">
        <v>793</v>
      </c>
      <c r="AA100" s="856"/>
      <c r="AB100" s="853"/>
      <c r="AC100" s="853"/>
      <c r="AD100" s="853"/>
    </row>
    <row customHeight="1" ht="27">
      <c r="A101" s="852"/>
      <c r="B101" s="906">
        <v>84</v>
      </c>
      <c r="C101" s="850"/>
      <c r="D101" s="974"/>
      <c r="E101" s="850"/>
      <c r="F101" s="850"/>
      <c r="G101" s="850"/>
      <c r="H101" s="898"/>
      <c r="I101" s="1012">
        <f>INDEX(TEMPLATE_NUMBER_POINT_FHD,B101,MATCH(TEMPLATE_SPHERE,TEMPLATE_SPHERE_LIST_FOR_NOTE,0))</f>
        <v>0</v>
      </c>
      <c r="J101" s="1012">
        <f>INDEX(TEMPLATE_DATA_POINT_FHD,B101,MATCH(TEMPLATE_SPHERE,TEMPLATE_SPHERE_LIST_FOR_NOTE,0))</f>
        <v>0</v>
      </c>
      <c r="K101" s="1012">
        <f>INDEX(TEMPLATE_NOTE_POINT_FHD,B101,MATCH(TEMPLATE_SPHERE,TEMPLATE_SPHERE_LIST_FOR_NOTE,0))</f>
        <v>0</v>
      </c>
      <c r="L101" s="851" t="str">
        <f>IF(I101=0,"",I101)</f>
        <v/>
      </c>
      <c r="M101" s="851" t="str">
        <f>IF(J101=0,"",J101)</f>
        <v/>
      </c>
      <c r="N101" s="851" t="str">
        <f>IF(K101=0,"",K101)</f>
        <v/>
      </c>
      <c r="O101" s="964" t="s">
        <v>2373</v>
      </c>
      <c r="P101" s="964"/>
      <c r="Q101" s="964"/>
      <c r="R101" s="964"/>
      <c r="S101" s="964"/>
      <c r="T101" s="850" t="s">
        <v>2374</v>
      </c>
      <c r="U101" s="850"/>
      <c r="V101" s="850"/>
      <c r="W101" s="850"/>
      <c r="X101" s="850"/>
      <c r="Y101" s="1007"/>
      <c r="Z101" s="853" t="s">
        <v>793</v>
      </c>
      <c r="AA101" s="856"/>
      <c r="AB101" s="853"/>
      <c r="AC101" s="853"/>
      <c r="AD101" s="853"/>
    </row>
    <row customHeight="1" ht="9">
      <c r="A102" s="852"/>
      <c r="B102" s="852"/>
      <c r="C102" s="850"/>
      <c r="D102" s="850"/>
      <c r="E102" s="850"/>
      <c r="F102" s="850"/>
      <c r="G102" s="850"/>
      <c r="H102" s="898"/>
      <c r="I102" s="898"/>
      <c r="J102" s="898"/>
      <c r="K102" s="898"/>
      <c r="L102" s="898"/>
      <c r="M102" s="850"/>
      <c r="N102" s="897"/>
      <c r="O102" s="964"/>
      <c r="P102" s="964"/>
      <c r="Q102" s="964"/>
      <c r="R102" s="964"/>
      <c r="S102" s="850"/>
      <c r="T102" s="850"/>
      <c r="U102" s="850"/>
      <c r="V102" s="850"/>
      <c r="W102" s="850"/>
      <c r="X102" s="850"/>
      <c r="Y102" s="1007"/>
      <c r="Z102" s="853"/>
      <c r="AA102" s="856"/>
      <c r="AB102" s="853"/>
      <c r="AC102" s="853"/>
      <c r="AD102" s="853"/>
    </row>
    <row customHeight="1" ht="9">
      <c r="A103" s="852"/>
      <c r="B103" s="852"/>
      <c r="C103" s="850"/>
      <c r="D103" s="850"/>
      <c r="E103" s="850"/>
      <c r="F103" s="850"/>
      <c r="G103" s="850"/>
      <c r="H103" s="898"/>
      <c r="I103" s="898"/>
      <c r="J103" s="898"/>
      <c r="K103" s="898"/>
      <c r="L103" s="898"/>
      <c r="M103" s="850"/>
      <c r="N103" s="897"/>
      <c r="O103" s="964"/>
      <c r="P103" s="964"/>
      <c r="Q103" s="964"/>
      <c r="R103" s="964"/>
      <c r="S103" s="850"/>
      <c r="T103" s="850"/>
      <c r="U103" s="850"/>
      <c r="V103" s="850"/>
      <c r="W103" s="850"/>
      <c r="X103" s="850"/>
      <c r="Y103" s="1007"/>
      <c r="Z103" s="853"/>
      <c r="AA103" s="856"/>
      <c r="AB103" s="853"/>
      <c r="AC103" s="853"/>
      <c r="AD103" s="853"/>
    </row>
    <row customHeight="1" ht="9">
      <c r="A104" s="852"/>
      <c r="B104" s="852"/>
      <c r="C104" s="850"/>
      <c r="D104" s="850"/>
      <c r="E104" s="850"/>
      <c r="F104" s="850"/>
      <c r="G104" s="850"/>
      <c r="H104" s="898"/>
      <c r="I104" s="898"/>
      <c r="J104" s="898"/>
      <c r="K104" s="898"/>
      <c r="L104" s="898"/>
      <c r="M104" s="850"/>
      <c r="N104" s="897"/>
      <c r="O104" s="964"/>
      <c r="P104" s="964"/>
      <c r="Q104" s="964"/>
      <c r="R104" s="964"/>
      <c r="S104" s="850"/>
      <c r="T104" s="850"/>
      <c r="U104" s="850"/>
      <c r="V104" s="850"/>
      <c r="W104" s="850"/>
      <c r="X104" s="850"/>
      <c r="Y104" s="1007"/>
      <c r="Z104" s="853"/>
      <c r="AA104" s="856"/>
      <c r="AB104" s="853"/>
      <c r="AC104" s="853"/>
      <c r="AD104" s="853"/>
    </row>
    <row customHeight="1" ht="9">
      <c r="A105" s="852"/>
      <c r="B105" s="852"/>
      <c r="C105" s="850"/>
      <c r="D105" s="850"/>
      <c r="E105" s="850"/>
      <c r="F105" s="850"/>
      <c r="G105" s="850"/>
      <c r="H105" s="898"/>
      <c r="I105" s="898"/>
      <c r="J105" s="898"/>
      <c r="K105" s="898"/>
      <c r="L105" s="898"/>
      <c r="M105" s="850"/>
      <c r="N105" s="897"/>
      <c r="O105" s="964"/>
      <c r="P105" s="964"/>
      <c r="Q105" s="964"/>
      <c r="R105" s="964"/>
      <c r="S105" s="850"/>
      <c r="T105" s="850"/>
      <c r="U105" s="850"/>
      <c r="V105" s="850"/>
      <c r="W105" s="850"/>
      <c r="X105" s="850"/>
      <c r="Y105" s="1007"/>
      <c r="Z105" s="853"/>
      <c r="AA105" s="856"/>
      <c r="AB105" s="853"/>
      <c r="AC105" s="853"/>
      <c r="AD105" s="853"/>
    </row>
    <row customHeight="1" ht="9">
      <c r="A106" s="852"/>
      <c r="B106" s="852"/>
      <c r="C106" s="850"/>
      <c r="D106" s="850"/>
      <c r="E106" s="850"/>
      <c r="F106" s="850"/>
      <c r="G106" s="850"/>
      <c r="H106" s="898"/>
      <c r="I106" s="898"/>
      <c r="J106" s="898"/>
      <c r="K106" s="898"/>
      <c r="L106" s="898"/>
      <c r="M106" s="850"/>
      <c r="N106" s="897"/>
      <c r="O106" s="964"/>
      <c r="P106" s="964"/>
      <c r="Q106" s="964"/>
      <c r="R106" s="964"/>
      <c r="S106" s="850"/>
      <c r="T106" s="850"/>
      <c r="U106" s="850"/>
      <c r="V106" s="850"/>
      <c r="W106" s="850"/>
      <c r="X106" s="850"/>
      <c r="Y106" s="1007"/>
      <c r="Z106" s="853"/>
      <c r="AA106" s="856"/>
      <c r="AB106" s="853"/>
      <c r="AC106" s="853"/>
      <c r="AD106" s="853"/>
    </row>
    <row customHeight="1" ht="9">
      <c r="A107" s="852"/>
      <c r="B107" s="852"/>
      <c r="C107" s="850"/>
      <c r="D107" s="850"/>
      <c r="E107" s="850"/>
      <c r="F107" s="850"/>
      <c r="G107" s="850"/>
      <c r="H107" s="898"/>
      <c r="I107" s="898"/>
      <c r="J107" s="898"/>
      <c r="K107" s="898"/>
      <c r="L107" s="898"/>
      <c r="M107" s="850"/>
      <c r="N107" s="897"/>
      <c r="O107" s="964"/>
      <c r="P107" s="964"/>
      <c r="Q107" s="964"/>
      <c r="R107" s="964"/>
      <c r="S107" s="850"/>
      <c r="T107" s="850"/>
      <c r="U107" s="850"/>
      <c r="V107" s="850"/>
      <c r="W107" s="850"/>
      <c r="X107" s="850"/>
      <c r="Y107" s="1007"/>
      <c r="Z107" s="853"/>
      <c r="AA107" s="856"/>
      <c r="AB107" s="853"/>
      <c r="AC107" s="853"/>
      <c r="AD107" s="853"/>
    </row>
    <row customHeight="1" ht="9">
      <c r="A108" s="852"/>
      <c r="B108" s="852"/>
      <c r="C108" s="850"/>
      <c r="D108" s="850"/>
      <c r="E108" s="850"/>
      <c r="F108" s="850"/>
      <c r="G108" s="850"/>
      <c r="H108" s="898"/>
      <c r="I108" s="898"/>
      <c r="J108" s="898"/>
      <c r="K108" s="898"/>
      <c r="L108" s="898"/>
      <c r="M108" s="850"/>
      <c r="N108" s="897"/>
      <c r="O108" s="964"/>
      <c r="P108" s="964"/>
      <c r="Q108" s="964"/>
      <c r="R108" s="964"/>
      <c r="S108" s="850"/>
      <c r="T108" s="850"/>
      <c r="U108" s="850"/>
      <c r="V108" s="850"/>
      <c r="W108" s="850"/>
      <c r="X108" s="850"/>
      <c r="Y108" s="1007"/>
      <c r="Z108" s="853"/>
      <c r="AA108" s="856"/>
      <c r="AB108" s="853"/>
      <c r="AC108" s="853"/>
      <c r="AD108" s="853"/>
    </row>
    <row customHeight="1" ht="9">
      <c r="A109" s="852"/>
      <c r="B109" s="852"/>
      <c r="C109" s="850"/>
      <c r="D109" s="850"/>
      <c r="E109" s="850"/>
      <c r="F109" s="850"/>
      <c r="G109" s="850"/>
      <c r="H109" s="898"/>
      <c r="I109" s="898"/>
      <c r="J109" s="898"/>
      <c r="K109" s="898"/>
      <c r="L109" s="898"/>
      <c r="M109" s="850"/>
      <c r="N109" s="897"/>
      <c r="O109" s="964"/>
      <c r="P109" s="964"/>
      <c r="Q109" s="964"/>
      <c r="R109" s="964"/>
      <c r="S109" s="850"/>
      <c r="T109" s="850"/>
      <c r="U109" s="850"/>
      <c r="V109" s="850"/>
      <c r="W109" s="850"/>
      <c r="X109" s="850"/>
      <c r="Y109" s="1007"/>
      <c r="Z109" s="853"/>
      <c r="AA109" s="856"/>
      <c r="AB109" s="853"/>
      <c r="AC109" s="853"/>
      <c r="AD109" s="853"/>
    </row>
    <row customHeight="1" ht="9">
      <c r="A110" s="852"/>
      <c r="B110" s="852"/>
      <c r="C110" s="850"/>
      <c r="D110" s="850"/>
      <c r="E110" s="850"/>
      <c r="F110" s="850"/>
      <c r="G110" s="850"/>
      <c r="H110" s="898"/>
      <c r="I110" s="898"/>
      <c r="J110" s="898"/>
      <c r="K110" s="898"/>
      <c r="L110" s="898"/>
      <c r="M110" s="850"/>
      <c r="N110" s="897"/>
      <c r="O110" s="964"/>
      <c r="P110" s="964"/>
      <c r="Q110" s="964"/>
      <c r="R110" s="964"/>
      <c r="S110" s="850"/>
      <c r="T110" s="850"/>
      <c r="U110" s="850"/>
      <c r="V110" s="850"/>
      <c r="W110" s="850"/>
      <c r="X110" s="850"/>
      <c r="Y110" s="1007"/>
      <c r="Z110" s="853"/>
      <c r="AA110" s="856"/>
      <c r="AB110" s="853"/>
      <c r="AC110" s="853"/>
      <c r="AD110" s="853"/>
    </row>
    <row customHeight="1" ht="9">
      <c r="A111" s="852"/>
      <c r="B111" s="852"/>
      <c r="C111" s="850"/>
      <c r="D111" s="850"/>
      <c r="E111" s="850"/>
      <c r="F111" s="850"/>
      <c r="G111" s="850"/>
      <c r="H111" s="898"/>
      <c r="I111" s="898"/>
      <c r="J111" s="898"/>
      <c r="K111" s="898"/>
      <c r="L111" s="898"/>
      <c r="M111" s="850"/>
      <c r="N111" s="897"/>
      <c r="O111" s="964"/>
      <c r="P111" s="964"/>
      <c r="Q111" s="964"/>
      <c r="R111" s="964"/>
      <c r="S111" s="850"/>
      <c r="T111" s="850"/>
      <c r="U111" s="850"/>
      <c r="V111" s="850"/>
      <c r="W111" s="850"/>
      <c r="X111" s="850"/>
      <c r="Y111" s="1007"/>
      <c r="Z111" s="853"/>
      <c r="AA111" s="856"/>
      <c r="AB111" s="853"/>
      <c r="AC111" s="853"/>
      <c r="AD111" s="853"/>
    </row>
    <row customHeight="1" ht="9">
      <c r="A112" s="852"/>
      <c r="B112" s="852"/>
      <c r="C112" s="850"/>
      <c r="D112" s="850"/>
      <c r="E112" s="850"/>
      <c r="F112" s="850"/>
      <c r="G112" s="850"/>
      <c r="H112" s="898"/>
      <c r="I112" s="898"/>
      <c r="J112" s="898"/>
      <c r="K112" s="898"/>
      <c r="L112" s="898"/>
      <c r="M112" s="850"/>
      <c r="N112" s="897"/>
      <c r="O112" s="964"/>
      <c r="P112" s="964"/>
      <c r="Q112" s="964"/>
      <c r="R112" s="964"/>
      <c r="S112" s="850"/>
      <c r="T112" s="850"/>
      <c r="U112" s="850"/>
      <c r="V112" s="850"/>
      <c r="W112" s="850"/>
      <c r="X112" s="850"/>
      <c r="Y112" s="1007"/>
      <c r="Z112" s="853"/>
      <c r="AA112" s="856"/>
      <c r="AB112" s="853"/>
      <c r="AC112" s="853"/>
      <c r="AD112" s="853"/>
    </row>
    <row customHeight="1" ht="9">
      <c r="A113" s="852"/>
      <c r="B113" s="852"/>
      <c r="C113" s="850"/>
      <c r="D113" s="850"/>
      <c r="E113" s="850"/>
      <c r="F113" s="850"/>
      <c r="G113" s="850"/>
      <c r="H113" s="898"/>
      <c r="I113" s="898"/>
      <c r="J113" s="898"/>
      <c r="K113" s="898"/>
      <c r="L113" s="898"/>
      <c r="M113" s="850"/>
      <c r="N113" s="897"/>
      <c r="O113" s="964"/>
      <c r="P113" s="964"/>
      <c r="Q113" s="964"/>
      <c r="R113" s="964"/>
      <c r="S113" s="850"/>
      <c r="T113" s="850"/>
      <c r="U113" s="850"/>
      <c r="V113" s="850"/>
      <c r="W113" s="850"/>
      <c r="X113" s="850"/>
      <c r="Y113" s="1007"/>
      <c r="Z113" s="853"/>
      <c r="AA113" s="856"/>
      <c r="AB113" s="853"/>
      <c r="AC113" s="853"/>
      <c r="AD113" s="853"/>
    </row>
    <row customHeight="1" ht="9">
      <c r="A114" s="852"/>
      <c r="B114" s="852"/>
      <c r="C114" s="850"/>
      <c r="D114" s="850"/>
      <c r="E114" s="850"/>
      <c r="F114" s="850"/>
      <c r="G114" s="850"/>
      <c r="H114" s="898"/>
      <c r="I114" s="898"/>
      <c r="J114" s="898"/>
      <c r="K114" s="898"/>
      <c r="L114" s="898"/>
      <c r="M114" s="850"/>
      <c r="N114" s="897"/>
      <c r="O114" s="964"/>
      <c r="P114" s="964"/>
      <c r="Q114" s="964"/>
      <c r="R114" s="964"/>
      <c r="S114" s="850"/>
      <c r="T114" s="850"/>
      <c r="U114" s="850"/>
      <c r="V114" s="850"/>
      <c r="W114" s="850"/>
      <c r="X114" s="850"/>
      <c r="Y114" s="1007"/>
      <c r="Z114" s="853"/>
      <c r="AA114" s="856"/>
      <c r="AB114" s="853"/>
      <c r="AC114" s="853"/>
      <c r="AD114" s="853"/>
    </row>
    <row customHeight="1" ht="9">
      <c r="A115" s="852"/>
      <c r="B115" s="852"/>
      <c r="C115" s="850"/>
      <c r="D115" s="850"/>
      <c r="E115" s="850"/>
      <c r="F115" s="850"/>
      <c r="G115" s="850"/>
      <c r="H115" s="898"/>
      <c r="I115" s="898"/>
      <c r="J115" s="898"/>
      <c r="K115" s="898"/>
      <c r="L115" s="898"/>
      <c r="M115" s="850"/>
      <c r="N115" s="897"/>
      <c r="O115" s="964"/>
      <c r="P115" s="964"/>
      <c r="Q115" s="964"/>
      <c r="R115" s="964"/>
      <c r="S115" s="850"/>
      <c r="T115" s="850"/>
      <c r="U115" s="850"/>
      <c r="V115" s="850"/>
      <c r="W115" s="850"/>
      <c r="X115" s="850"/>
      <c r="Y115" s="1007"/>
      <c r="Z115" s="853"/>
      <c r="AA115" s="856"/>
      <c r="AB115" s="853"/>
      <c r="AC115" s="853"/>
      <c r="AD115" s="853"/>
    </row>
    <row customHeight="1" ht="9">
      <c r="A116" s="852"/>
      <c r="B116" s="852"/>
      <c r="C116" s="850"/>
      <c r="D116" s="850"/>
      <c r="E116" s="850"/>
      <c r="F116" s="850"/>
      <c r="G116" s="850"/>
      <c r="H116" s="898"/>
      <c r="I116" s="898"/>
      <c r="J116" s="898"/>
      <c r="K116" s="898"/>
      <c r="L116" s="898"/>
      <c r="M116" s="850"/>
      <c r="N116" s="897"/>
      <c r="O116" s="964"/>
      <c r="P116" s="964"/>
      <c r="Q116" s="964"/>
      <c r="R116" s="964"/>
      <c r="S116" s="850"/>
      <c r="T116" s="850"/>
      <c r="U116" s="850"/>
      <c r="V116" s="850"/>
      <c r="W116" s="850"/>
      <c r="X116" s="850"/>
      <c r="Y116" s="1007"/>
      <c r="Z116" s="853"/>
      <c r="AA116" s="856"/>
      <c r="AB116" s="853"/>
      <c r="AC116" s="853"/>
      <c r="AD116" s="853"/>
    </row>
    <row customHeight="1" ht="9">
      <c r="A117" s="852"/>
      <c r="B117" s="852"/>
      <c r="C117" s="850"/>
      <c r="D117" s="850"/>
      <c r="E117" s="850"/>
      <c r="F117" s="850"/>
      <c r="G117" s="850"/>
      <c r="H117" s="898"/>
      <c r="I117" s="898"/>
      <c r="J117" s="898"/>
      <c r="K117" s="898"/>
      <c r="L117" s="898"/>
      <c r="M117" s="850"/>
      <c r="N117" s="897"/>
      <c r="O117" s="964"/>
      <c r="P117" s="964"/>
      <c r="Q117" s="964"/>
      <c r="R117" s="964"/>
      <c r="S117" s="850"/>
      <c r="T117" s="850"/>
      <c r="U117" s="850"/>
      <c r="V117" s="850"/>
      <c r="W117" s="850"/>
      <c r="X117" s="850"/>
      <c r="Y117" s="1007"/>
      <c r="Z117" s="853"/>
      <c r="AA117" s="856"/>
      <c r="AB117" s="853"/>
      <c r="AC117" s="853"/>
      <c r="AD117" s="853"/>
    </row>
    <row customHeight="1" ht="9">
      <c r="A118" s="852"/>
      <c r="B118" s="852"/>
      <c r="C118" s="850"/>
      <c r="D118" s="850"/>
      <c r="E118" s="850"/>
      <c r="F118" s="850"/>
      <c r="G118" s="850"/>
      <c r="H118" s="898"/>
      <c r="I118" s="898"/>
      <c r="J118" s="898"/>
      <c r="K118" s="898"/>
      <c r="L118" s="898"/>
      <c r="M118" s="850"/>
      <c r="N118" s="897"/>
      <c r="O118" s="964"/>
      <c r="P118" s="964"/>
      <c r="Q118" s="964"/>
      <c r="R118" s="964"/>
      <c r="S118" s="850"/>
      <c r="T118" s="850"/>
      <c r="U118" s="850"/>
      <c r="V118" s="850"/>
      <c r="W118" s="850"/>
      <c r="X118" s="850"/>
      <c r="Y118" s="1007"/>
      <c r="Z118" s="853"/>
      <c r="AA118" s="856"/>
      <c r="AB118" s="853"/>
      <c r="AC118" s="853"/>
      <c r="AD118" s="853"/>
    </row>
    <row customHeight="1" ht="9">
      <c r="A119" s="852"/>
      <c r="B119" s="852"/>
      <c r="C119" s="850"/>
      <c r="D119" s="850"/>
      <c r="E119" s="850"/>
      <c r="F119" s="850"/>
      <c r="G119" s="850"/>
      <c r="H119" s="898"/>
      <c r="I119" s="898"/>
      <c r="J119" s="898"/>
      <c r="K119" s="898"/>
      <c r="L119" s="898"/>
      <c r="M119" s="850"/>
      <c r="N119" s="897"/>
      <c r="O119" s="964"/>
      <c r="P119" s="964"/>
      <c r="Q119" s="964"/>
      <c r="R119" s="964"/>
      <c r="S119" s="850"/>
      <c r="T119" s="850"/>
      <c r="U119" s="850"/>
      <c r="V119" s="850"/>
      <c r="W119" s="850"/>
      <c r="X119" s="850"/>
      <c r="Y119" s="1007"/>
      <c r="Z119" s="853"/>
      <c r="AA119" s="856"/>
      <c r="AB119" s="853"/>
      <c r="AC119" s="853"/>
      <c r="AD119" s="853"/>
    </row>
    <row customHeight="1" ht="9">
      <c r="A120" s="852"/>
      <c r="B120" s="852"/>
      <c r="C120" s="850"/>
      <c r="D120" s="850"/>
      <c r="E120" s="850"/>
      <c r="F120" s="850"/>
      <c r="G120" s="850"/>
      <c r="H120" s="898"/>
      <c r="I120" s="898"/>
      <c r="J120" s="898"/>
      <c r="K120" s="898"/>
      <c r="L120" s="898"/>
      <c r="M120" s="850"/>
      <c r="N120" s="897"/>
      <c r="O120" s="964"/>
      <c r="P120" s="964"/>
      <c r="Q120" s="964"/>
      <c r="R120" s="964"/>
      <c r="S120" s="850"/>
      <c r="T120" s="850"/>
      <c r="U120" s="850"/>
      <c r="V120" s="850"/>
      <c r="W120" s="850"/>
      <c r="X120" s="850"/>
      <c r="Y120" s="1007"/>
      <c r="Z120" s="853"/>
      <c r="AA120" s="856"/>
      <c r="AB120" s="853"/>
      <c r="AC120" s="853"/>
      <c r="AD120" s="853"/>
    </row>
    <row customHeight="1" ht="9">
      <c r="A121" s="852"/>
      <c r="B121" s="852"/>
      <c r="C121" s="850"/>
      <c r="D121" s="850"/>
      <c r="E121" s="850"/>
      <c r="F121" s="850"/>
      <c r="G121" s="850"/>
      <c r="H121" s="898"/>
      <c r="I121" s="898"/>
      <c r="J121" s="898"/>
      <c r="K121" s="898"/>
      <c r="L121" s="898"/>
      <c r="M121" s="850"/>
      <c r="N121" s="897"/>
      <c r="O121" s="964"/>
      <c r="P121" s="964"/>
      <c r="Q121" s="964"/>
      <c r="R121" s="964"/>
      <c r="S121" s="850"/>
      <c r="T121" s="850"/>
      <c r="U121" s="850"/>
      <c r="V121" s="850"/>
      <c r="W121" s="850"/>
      <c r="X121" s="850"/>
      <c r="Y121" s="1007"/>
      <c r="Z121" s="853"/>
      <c r="AA121" s="856"/>
      <c r="AB121" s="853"/>
      <c r="AC121" s="853"/>
      <c r="AD121" s="853"/>
    </row>
    <row customHeight="1" ht="9">
      <c r="A122" s="852"/>
      <c r="B122" s="852"/>
      <c r="C122" s="850"/>
      <c r="D122" s="850"/>
      <c r="E122" s="850"/>
      <c r="F122" s="850"/>
      <c r="G122" s="850"/>
      <c r="H122" s="898"/>
      <c r="I122" s="898"/>
      <c r="J122" s="898"/>
      <c r="K122" s="898"/>
      <c r="L122" s="898"/>
      <c r="M122" s="850"/>
      <c r="N122" s="897"/>
      <c r="O122" s="964"/>
      <c r="P122" s="964"/>
      <c r="Q122" s="964"/>
      <c r="R122" s="964"/>
      <c r="S122" s="850"/>
      <c r="T122" s="850"/>
      <c r="U122" s="850"/>
      <c r="V122" s="850"/>
      <c r="W122" s="850"/>
      <c r="X122" s="850"/>
      <c r="Y122" s="1007"/>
      <c r="Z122" s="853"/>
      <c r="AA122" s="856"/>
      <c r="AB122" s="853"/>
      <c r="AC122" s="853"/>
      <c r="AD122" s="853"/>
    </row>
    <row customHeight="1" ht="9">
      <c r="A123" s="852"/>
      <c r="B123" s="852"/>
      <c r="C123" s="850"/>
      <c r="D123" s="850"/>
      <c r="E123" s="850"/>
      <c r="F123" s="850"/>
      <c r="G123" s="850"/>
      <c r="H123" s="898"/>
      <c r="I123" s="898"/>
      <c r="J123" s="898"/>
      <c r="K123" s="898"/>
      <c r="L123" s="898"/>
      <c r="M123" s="850"/>
      <c r="N123" s="897"/>
      <c r="O123" s="964"/>
      <c r="P123" s="964"/>
      <c r="Q123" s="964"/>
      <c r="R123" s="964"/>
      <c r="S123" s="850"/>
      <c r="T123" s="850"/>
      <c r="U123" s="850"/>
      <c r="V123" s="850"/>
      <c r="W123" s="850"/>
      <c r="X123" s="850"/>
      <c r="Y123" s="1007"/>
      <c r="Z123" s="853"/>
      <c r="AA123" s="856"/>
      <c r="AB123" s="853"/>
      <c r="AC123" s="853"/>
      <c r="AD123" s="853"/>
    </row>
    <row customHeight="1" ht="9">
      <c r="A124" s="852"/>
      <c r="B124" s="852"/>
      <c r="C124" s="850"/>
      <c r="D124" s="850"/>
      <c r="E124" s="850"/>
      <c r="F124" s="850"/>
      <c r="G124" s="850"/>
      <c r="H124" s="898"/>
      <c r="I124" s="898"/>
      <c r="J124" s="898"/>
      <c r="K124" s="898"/>
      <c r="L124" s="898"/>
      <c r="M124" s="850"/>
      <c r="N124" s="897"/>
      <c r="O124" s="964"/>
      <c r="P124" s="964"/>
      <c r="Q124" s="964"/>
      <c r="R124" s="964"/>
      <c r="S124" s="850"/>
      <c r="T124" s="850"/>
      <c r="U124" s="850"/>
      <c r="V124" s="850"/>
      <c r="W124" s="850"/>
      <c r="X124" s="850"/>
      <c r="Y124" s="1007"/>
      <c r="Z124" s="853"/>
      <c r="AA124" s="856"/>
      <c r="AB124" s="853"/>
      <c r="AC124" s="853"/>
      <c r="AD124" s="853"/>
    </row>
    <row customHeight="1" ht="9">
      <c r="A125" s="852"/>
      <c r="B125" s="852"/>
      <c r="C125" s="850"/>
      <c r="D125" s="850"/>
      <c r="E125" s="850"/>
      <c r="F125" s="850"/>
      <c r="G125" s="850"/>
      <c r="H125" s="898"/>
      <c r="I125" s="898"/>
      <c r="J125" s="898"/>
      <c r="K125" s="898"/>
      <c r="L125" s="898"/>
      <c r="M125" s="850"/>
      <c r="N125" s="897"/>
      <c r="O125" s="964"/>
      <c r="P125" s="964"/>
      <c r="Q125" s="964"/>
      <c r="R125" s="964"/>
      <c r="S125" s="850"/>
      <c r="T125" s="850"/>
      <c r="U125" s="850"/>
      <c r="V125" s="850"/>
      <c r="W125" s="850"/>
      <c r="X125" s="850"/>
      <c r="Y125" s="1007"/>
      <c r="Z125" s="853"/>
      <c r="AA125" s="856"/>
      <c r="AB125" s="853"/>
      <c r="AC125" s="853"/>
      <c r="AD125" s="853"/>
    </row>
    <row customHeight="1" ht="9">
      <c r="A126" s="852"/>
      <c r="B126" s="852"/>
      <c r="C126" s="850"/>
      <c r="D126" s="850"/>
      <c r="E126" s="850"/>
      <c r="F126" s="850"/>
      <c r="G126" s="850"/>
      <c r="H126" s="898"/>
      <c r="I126" s="898"/>
      <c r="J126" s="898"/>
      <c r="K126" s="898"/>
      <c r="L126" s="898"/>
      <c r="M126" s="850"/>
      <c r="N126" s="897"/>
      <c r="O126" s="964"/>
      <c r="P126" s="964"/>
      <c r="Q126" s="964"/>
      <c r="R126" s="964"/>
      <c r="S126" s="850"/>
      <c r="T126" s="850"/>
      <c r="U126" s="850"/>
      <c r="V126" s="850"/>
      <c r="W126" s="850"/>
      <c r="X126" s="850"/>
      <c r="Y126" s="1007"/>
      <c r="Z126" s="853"/>
      <c r="AA126" s="856"/>
      <c r="AB126" s="853"/>
      <c r="AC126" s="853"/>
      <c r="AD126" s="853"/>
    </row>
    <row customHeight="1" ht="9">
      <c r="A127" s="852"/>
      <c r="B127" s="852"/>
      <c r="C127" s="850"/>
      <c r="D127" s="850"/>
      <c r="E127" s="850"/>
      <c r="F127" s="850"/>
      <c r="G127" s="850"/>
      <c r="H127" s="898"/>
      <c r="I127" s="898"/>
      <c r="J127" s="898"/>
      <c r="K127" s="898"/>
      <c r="L127" s="898"/>
      <c r="M127" s="850"/>
      <c r="N127" s="897"/>
      <c r="O127" s="964"/>
      <c r="P127" s="964"/>
      <c r="Q127" s="964"/>
      <c r="R127" s="964"/>
      <c r="S127" s="850"/>
      <c r="T127" s="850"/>
      <c r="U127" s="850"/>
      <c r="V127" s="850"/>
      <c r="W127" s="850"/>
      <c r="X127" s="850"/>
      <c r="Y127" s="1007"/>
      <c r="Z127" s="853"/>
      <c r="AA127" s="856"/>
      <c r="AB127" s="853"/>
      <c r="AC127" s="853"/>
      <c r="AD127" s="853"/>
    </row>
    <row customHeight="1" ht="9">
      <c r="A128" s="852"/>
      <c r="B128" s="852"/>
      <c r="C128" s="850"/>
      <c r="D128" s="850"/>
      <c r="E128" s="850"/>
      <c r="F128" s="850"/>
      <c r="G128" s="850"/>
      <c r="H128" s="898"/>
      <c r="I128" s="898"/>
      <c r="J128" s="898"/>
      <c r="K128" s="898"/>
      <c r="L128" s="898"/>
      <c r="M128" s="850"/>
      <c r="N128" s="897"/>
      <c r="O128" s="964"/>
      <c r="P128" s="964"/>
      <c r="Q128" s="964"/>
      <c r="R128" s="964"/>
      <c r="S128" s="850"/>
      <c r="T128" s="850"/>
      <c r="U128" s="850"/>
      <c r="V128" s="850"/>
      <c r="W128" s="850"/>
      <c r="X128" s="850"/>
      <c r="Y128" s="1007"/>
      <c r="Z128" s="853"/>
      <c r="AA128" s="856"/>
      <c r="AB128" s="853"/>
      <c r="AC128" s="853"/>
      <c r="AD128" s="853"/>
    </row>
    <row customHeight="1" ht="9">
      <c r="A129" s="852"/>
      <c r="B129" s="852"/>
      <c r="C129" s="850"/>
      <c r="D129" s="850"/>
      <c r="E129" s="850"/>
      <c r="F129" s="850"/>
      <c r="G129" s="850"/>
      <c r="H129" s="898"/>
      <c r="I129" s="898"/>
      <c r="J129" s="898"/>
      <c r="K129" s="898"/>
      <c r="L129" s="898"/>
      <c r="M129" s="850"/>
      <c r="N129" s="897"/>
      <c r="O129" s="964"/>
      <c r="P129" s="964"/>
      <c r="Q129" s="964"/>
      <c r="R129" s="964"/>
      <c r="S129" s="850"/>
      <c r="T129" s="850"/>
      <c r="U129" s="850"/>
      <c r="V129" s="850"/>
      <c r="W129" s="850"/>
      <c r="X129" s="850"/>
      <c r="Y129" s="1007"/>
      <c r="Z129" s="853"/>
      <c r="AA129" s="856"/>
      <c r="AB129" s="853"/>
      <c r="AC129" s="853"/>
      <c r="AD129" s="853"/>
    </row>
    <row customHeight="1" ht="9">
      <c r="A130" s="852"/>
      <c r="B130" s="852"/>
      <c r="C130" s="850"/>
      <c r="D130" s="850"/>
      <c r="E130" s="850"/>
      <c r="F130" s="850"/>
      <c r="G130" s="850"/>
      <c r="H130" s="898"/>
      <c r="I130" s="898"/>
      <c r="J130" s="898"/>
      <c r="K130" s="898"/>
      <c r="L130" s="898"/>
      <c r="M130" s="850"/>
      <c r="N130" s="897"/>
      <c r="O130" s="966"/>
      <c r="P130" s="966"/>
      <c r="Q130" s="966"/>
      <c r="R130" s="966"/>
      <c r="S130" s="850"/>
      <c r="T130" s="850"/>
      <c r="U130" s="850"/>
      <c r="V130" s="850"/>
      <c r="W130" s="850"/>
      <c r="X130" s="850"/>
      <c r="Y130" s="1007"/>
      <c r="Z130" s="853"/>
      <c r="AA130" s="856"/>
      <c r="AB130" s="853"/>
      <c r="AC130" s="853"/>
      <c r="AD130" s="853"/>
    </row>
    <row customHeight="1" ht="9">
      <c r="A131" s="852"/>
      <c r="B131" s="852"/>
      <c r="C131" s="850"/>
      <c r="D131" s="850"/>
      <c r="E131" s="850"/>
      <c r="F131" s="850"/>
      <c r="G131" s="850"/>
      <c r="H131" s="898"/>
      <c r="I131" s="898"/>
      <c r="J131" s="898"/>
      <c r="K131" s="898"/>
      <c r="L131" s="898"/>
      <c r="M131" s="850"/>
      <c r="N131" s="897"/>
      <c r="O131" s="967"/>
      <c r="P131" s="967"/>
      <c r="Q131" s="967"/>
      <c r="R131" s="967"/>
      <c r="S131" s="850"/>
      <c r="T131" s="850"/>
      <c r="U131" s="850"/>
      <c r="V131" s="850"/>
      <c r="W131" s="850"/>
      <c r="X131" s="850"/>
      <c r="Y131" s="1007"/>
      <c r="Z131" s="853"/>
      <c r="AA131" s="856"/>
      <c r="AB131" s="853"/>
      <c r="AC131" s="853"/>
      <c r="AD131" s="853"/>
    </row>
    <row customHeight="1" ht="9">
      <c r="A132" s="852"/>
      <c r="B132" s="852"/>
      <c r="C132" s="850"/>
      <c r="D132" s="850"/>
      <c r="E132" s="850"/>
      <c r="F132" s="850"/>
      <c r="G132" s="850"/>
      <c r="H132" s="898"/>
      <c r="I132" s="898"/>
      <c r="J132" s="898"/>
      <c r="K132" s="898"/>
      <c r="L132" s="898"/>
      <c r="M132" s="850"/>
      <c r="N132" s="897"/>
      <c r="O132" s="966"/>
      <c r="P132" s="966"/>
      <c r="Q132" s="966"/>
      <c r="R132" s="966"/>
      <c r="S132" s="850"/>
      <c r="T132" s="850"/>
      <c r="U132" s="850"/>
      <c r="V132" s="850"/>
      <c r="W132" s="850"/>
      <c r="X132" s="850"/>
      <c r="Y132" s="1007"/>
      <c r="Z132" s="853"/>
      <c r="AA132" s="856"/>
      <c r="AB132" s="853"/>
      <c r="AC132" s="853"/>
      <c r="AD132" s="853"/>
    </row>
    <row customHeight="1" ht="9">
      <c r="A133" s="852"/>
      <c r="B133" s="852"/>
      <c r="C133" s="850"/>
      <c r="D133" s="850"/>
      <c r="E133" s="850"/>
      <c r="F133" s="850"/>
      <c r="G133" s="850"/>
      <c r="H133" s="898"/>
      <c r="I133" s="898"/>
      <c r="J133" s="898"/>
      <c r="K133" s="898"/>
      <c r="L133" s="898"/>
      <c r="M133" s="850"/>
      <c r="N133" s="897"/>
      <c r="O133" s="967"/>
      <c r="P133" s="967"/>
      <c r="Q133" s="967"/>
      <c r="R133" s="967"/>
      <c r="S133" s="850"/>
      <c r="T133" s="850"/>
      <c r="U133" s="850"/>
      <c r="V133" s="850"/>
      <c r="W133" s="850"/>
      <c r="X133" s="850"/>
      <c r="Y133" s="1007"/>
      <c r="Z133" s="853"/>
      <c r="AA133" s="856"/>
      <c r="AB133" s="853"/>
      <c r="AC133" s="853"/>
      <c r="AD133" s="853"/>
    </row>
    <row customHeight="1" ht="9">
      <c r="A134" s="852"/>
      <c r="B134" s="852"/>
      <c r="C134" s="850"/>
      <c r="D134" s="850"/>
      <c r="E134" s="850"/>
      <c r="F134" s="850"/>
      <c r="G134" s="850"/>
      <c r="H134" s="898"/>
      <c r="I134" s="898"/>
      <c r="J134" s="898"/>
      <c r="K134" s="898"/>
      <c r="L134" s="898"/>
      <c r="M134" s="850"/>
      <c r="N134" s="897"/>
      <c r="O134" s="964"/>
      <c r="P134" s="964"/>
      <c r="Q134" s="964"/>
      <c r="R134" s="964"/>
      <c r="S134" s="850"/>
      <c r="T134" s="850"/>
      <c r="U134" s="850"/>
      <c r="V134" s="850"/>
      <c r="W134" s="850"/>
      <c r="X134" s="850"/>
      <c r="Y134" s="1007"/>
      <c r="Z134" s="853"/>
      <c r="AA134" s="856"/>
      <c r="AB134" s="853"/>
      <c r="AC134" s="853"/>
      <c r="AD134" s="853"/>
    </row>
    <row customHeight="1" ht="9">
      <c r="A135" s="852"/>
      <c r="B135" s="852"/>
      <c r="C135" s="850"/>
      <c r="D135" s="850"/>
      <c r="E135" s="850"/>
      <c r="F135" s="850"/>
      <c r="G135" s="850"/>
      <c r="H135" s="898"/>
      <c r="I135" s="898"/>
      <c r="J135" s="898"/>
      <c r="K135" s="898"/>
      <c r="L135" s="898"/>
      <c r="M135" s="850"/>
      <c r="N135" s="897"/>
      <c r="O135" s="964"/>
      <c r="P135" s="964"/>
      <c r="Q135" s="964"/>
      <c r="R135" s="964"/>
      <c r="S135" s="850"/>
      <c r="T135" s="850"/>
      <c r="U135" s="850"/>
      <c r="V135" s="850"/>
      <c r="W135" s="850"/>
      <c r="X135" s="850"/>
      <c r="Y135" s="1007"/>
      <c r="Z135" s="853"/>
      <c r="AA135" s="856"/>
      <c r="AB135" s="853"/>
      <c r="AC135" s="853"/>
      <c r="AD135" s="853"/>
    </row>
    <row customHeight="1" ht="9">
      <c r="A136" s="852"/>
      <c r="B136" s="852"/>
      <c r="C136" s="850"/>
      <c r="D136" s="850"/>
      <c r="E136" s="850"/>
      <c r="F136" s="850"/>
      <c r="G136" s="850"/>
      <c r="H136" s="898"/>
      <c r="I136" s="898"/>
      <c r="J136" s="898"/>
      <c r="K136" s="898"/>
      <c r="L136" s="898"/>
      <c r="M136" s="850"/>
      <c r="N136" s="897"/>
      <c r="O136" s="964"/>
      <c r="P136" s="964"/>
      <c r="Q136" s="964"/>
      <c r="R136" s="964"/>
      <c r="S136" s="850"/>
      <c r="T136" s="850"/>
      <c r="U136" s="850"/>
      <c r="V136" s="850"/>
      <c r="W136" s="850"/>
      <c r="X136" s="850"/>
      <c r="Y136" s="1007"/>
      <c r="Z136" s="853"/>
      <c r="AA136" s="856"/>
      <c r="AB136" s="853"/>
      <c r="AC136" s="853"/>
      <c r="AD136" s="853"/>
    </row>
    <row customHeight="1" ht="9">
      <c r="A137" s="852"/>
      <c r="B137" s="852"/>
      <c r="C137" s="850"/>
      <c r="D137" s="850"/>
      <c r="E137" s="850"/>
      <c r="F137" s="850"/>
      <c r="G137" s="850"/>
      <c r="H137" s="898"/>
      <c r="I137" s="898"/>
      <c r="J137" s="898"/>
      <c r="K137" s="898"/>
      <c r="L137" s="898"/>
      <c r="M137" s="850"/>
      <c r="N137" s="897"/>
      <c r="O137" s="968"/>
      <c r="P137" s="968"/>
      <c r="Q137" s="968"/>
      <c r="R137" s="968"/>
      <c r="S137" s="850"/>
      <c r="T137" s="850"/>
      <c r="U137" s="850"/>
      <c r="V137" s="850"/>
      <c r="W137" s="850"/>
      <c r="X137" s="850"/>
      <c r="Y137" s="1007"/>
      <c r="Z137" s="853"/>
      <c r="AA137" s="856"/>
      <c r="AB137" s="853"/>
      <c r="AC137" s="853"/>
      <c r="AD137" s="853"/>
    </row>
    <row customHeight="1" ht="9">
      <c r="A138" s="852"/>
      <c r="B138" s="852"/>
      <c r="C138" s="850"/>
      <c r="D138" s="850"/>
      <c r="E138" s="850"/>
      <c r="F138" s="850"/>
      <c r="G138" s="850"/>
      <c r="H138" s="898"/>
      <c r="I138" s="898"/>
      <c r="J138" s="898"/>
      <c r="K138" s="898"/>
      <c r="L138" s="898"/>
      <c r="M138" s="850"/>
      <c r="N138" s="897"/>
      <c r="O138" s="965"/>
      <c r="P138" s="965"/>
      <c r="Q138" s="965"/>
      <c r="R138" s="965"/>
      <c r="S138" s="850"/>
      <c r="T138" s="850"/>
      <c r="U138" s="850"/>
      <c r="V138" s="850"/>
      <c r="W138" s="850"/>
      <c r="X138" s="850"/>
      <c r="Y138" s="1007"/>
      <c r="Z138" s="853"/>
      <c r="AA138" s="856"/>
      <c r="AB138" s="853"/>
      <c r="AC138" s="853"/>
      <c r="AD138" s="853"/>
    </row>
    <row customHeight="1" ht="9">
      <c r="A139" s="852"/>
      <c r="B139" s="852"/>
      <c r="C139" s="850"/>
      <c r="D139" s="850"/>
      <c r="E139" s="850"/>
      <c r="F139" s="850"/>
      <c r="G139" s="850"/>
      <c r="H139" s="898"/>
      <c r="I139" s="898"/>
      <c r="J139" s="898"/>
      <c r="K139" s="898"/>
      <c r="L139" s="898"/>
      <c r="M139" s="850"/>
      <c r="N139" s="897"/>
      <c r="O139" s="850"/>
      <c r="P139" s="850"/>
      <c r="Q139" s="850"/>
      <c r="R139" s="850"/>
      <c r="S139" s="850"/>
      <c r="T139" s="850"/>
      <c r="U139" s="850"/>
      <c r="V139" s="850"/>
      <c r="W139" s="850"/>
      <c r="X139" s="850"/>
      <c r="Y139" s="1007"/>
      <c r="Z139" s="853"/>
      <c r="AA139" s="856"/>
      <c r="AB139" s="853"/>
      <c r="AC139" s="853"/>
      <c r="AD139" s="853"/>
    </row>
    <row customHeight="1" ht="9">
      <c r="A140" s="852"/>
      <c r="B140" s="852"/>
      <c r="C140" s="850"/>
      <c r="D140" s="850"/>
      <c r="E140" s="850"/>
      <c r="F140" s="850"/>
      <c r="G140" s="850"/>
      <c r="H140" s="898"/>
      <c r="I140" s="898"/>
      <c r="J140" s="898"/>
      <c r="K140" s="898"/>
      <c r="L140" s="898"/>
      <c r="M140" s="850"/>
      <c r="N140" s="897"/>
      <c r="O140" s="850"/>
      <c r="P140" s="850"/>
      <c r="Q140" s="850"/>
      <c r="R140" s="850"/>
      <c r="S140" s="850"/>
      <c r="T140" s="850"/>
      <c r="U140" s="850"/>
      <c r="V140" s="850"/>
      <c r="W140" s="850"/>
      <c r="X140" s="850"/>
      <c r="Y140" s="1007"/>
      <c r="Z140" s="853"/>
      <c r="AA140" s="856"/>
      <c r="AB140" s="853"/>
      <c r="AC140" s="853"/>
      <c r="AD140" s="853"/>
    </row>
    <row customHeight="1" ht="9">
      <c r="A141" s="852"/>
      <c r="B141" s="852"/>
      <c r="C141" s="850"/>
      <c r="D141" s="850"/>
      <c r="E141" s="850"/>
      <c r="F141" s="850"/>
      <c r="G141" s="850"/>
      <c r="H141" s="898"/>
      <c r="I141" s="898"/>
      <c r="J141" s="898"/>
      <c r="K141" s="898"/>
      <c r="L141" s="898"/>
      <c r="M141" s="850"/>
      <c r="N141" s="897"/>
      <c r="O141" s="850"/>
      <c r="P141" s="850"/>
      <c r="Q141" s="850"/>
      <c r="R141" s="850"/>
      <c r="S141" s="850"/>
      <c r="T141" s="850"/>
      <c r="U141" s="850"/>
      <c r="V141" s="850"/>
      <c r="W141" s="850"/>
      <c r="X141" s="850"/>
      <c r="Y141" s="1007"/>
      <c r="Z141" s="853"/>
      <c r="AA141" s="856"/>
      <c r="AB141" s="853"/>
      <c r="AC141" s="853"/>
      <c r="AD141" s="853"/>
    </row>
    <row customHeight="1" ht="9">
      <c r="A142" s="852"/>
      <c r="B142" s="852"/>
      <c r="C142" s="850"/>
      <c r="D142" s="850"/>
      <c r="E142" s="850"/>
      <c r="F142" s="850"/>
      <c r="G142" s="850"/>
      <c r="H142" s="898"/>
      <c r="I142" s="898"/>
      <c r="J142" s="898"/>
      <c r="K142" s="898"/>
      <c r="L142" s="898"/>
      <c r="M142" s="850"/>
      <c r="N142" s="897"/>
      <c r="O142" s="850"/>
      <c r="P142" s="850"/>
      <c r="Q142" s="850"/>
      <c r="R142" s="850"/>
      <c r="S142" s="850"/>
      <c r="T142" s="850"/>
      <c r="U142" s="850"/>
      <c r="V142" s="850"/>
      <c r="W142" s="850"/>
      <c r="X142" s="850"/>
      <c r="Y142" s="1007"/>
      <c r="Z142" s="853"/>
      <c r="AA142" s="856"/>
      <c r="AB142" s="853"/>
      <c r="AC142" s="853"/>
      <c r="AD142" s="853"/>
    </row>
    <row customHeight="1" ht="9">
      <c r="A143" s="852"/>
      <c r="B143" s="852"/>
      <c r="C143" s="850"/>
      <c r="D143" s="850"/>
      <c r="E143" s="850"/>
      <c r="F143" s="850"/>
      <c r="G143" s="850"/>
      <c r="H143" s="898"/>
      <c r="I143" s="898"/>
      <c r="J143" s="898"/>
      <c r="K143" s="898"/>
      <c r="L143" s="898"/>
      <c r="M143" s="850"/>
      <c r="N143" s="897"/>
      <c r="O143" s="850"/>
      <c r="P143" s="850"/>
      <c r="Q143" s="850"/>
      <c r="R143" s="850"/>
      <c r="S143" s="850"/>
      <c r="T143" s="850"/>
      <c r="U143" s="850"/>
      <c r="V143" s="850"/>
      <c r="W143" s="850"/>
      <c r="X143" s="850"/>
      <c r="Y143" s="1007"/>
      <c r="Z143" s="853"/>
      <c r="AA143" s="856"/>
      <c r="AB143" s="853"/>
      <c r="AC143" s="853"/>
      <c r="AD143" s="853"/>
    </row>
    <row customHeight="1" ht="9">
      <c r="A144" s="852"/>
      <c r="B144" s="852"/>
      <c r="C144" s="850"/>
      <c r="D144" s="850"/>
      <c r="E144" s="850"/>
      <c r="F144" s="850"/>
      <c r="G144" s="850"/>
      <c r="H144" s="898"/>
      <c r="I144" s="898"/>
      <c r="J144" s="898"/>
      <c r="K144" s="898"/>
      <c r="L144" s="898"/>
      <c r="M144" s="850"/>
      <c r="N144" s="897"/>
      <c r="O144" s="850"/>
      <c r="P144" s="850"/>
      <c r="Q144" s="850"/>
      <c r="R144" s="850"/>
      <c r="S144" s="850"/>
      <c r="T144" s="850"/>
      <c r="U144" s="850"/>
      <c r="V144" s="850"/>
      <c r="W144" s="850"/>
      <c r="X144" s="850"/>
      <c r="Y144" s="1007"/>
      <c r="Z144" s="853"/>
      <c r="AA144" s="856"/>
      <c r="AB144" s="853"/>
      <c r="AC144" s="853"/>
      <c r="AD144" s="853"/>
    </row>
    <row customHeight="1" ht="9">
      <c r="A145" s="852"/>
      <c r="B145" s="852"/>
      <c r="C145" s="850"/>
      <c r="D145" s="850"/>
      <c r="E145" s="850"/>
      <c r="F145" s="850"/>
      <c r="G145" s="850"/>
      <c r="H145" s="898"/>
      <c r="I145" s="898"/>
      <c r="J145" s="898"/>
      <c r="K145" s="898"/>
      <c r="L145" s="898"/>
      <c r="M145" s="850"/>
      <c r="N145" s="897"/>
      <c r="O145" s="850"/>
      <c r="P145" s="850"/>
      <c r="Q145" s="850"/>
      <c r="R145" s="850"/>
      <c r="S145" s="850"/>
      <c r="T145" s="850"/>
      <c r="U145" s="850"/>
      <c r="V145" s="850"/>
      <c r="W145" s="850"/>
      <c r="X145" s="850"/>
      <c r="Y145" s="1007"/>
      <c r="Z145" s="853"/>
      <c r="AA145" s="856"/>
      <c r="AB145" s="853"/>
      <c r="AC145" s="853"/>
      <c r="AD145" s="853"/>
    </row>
    <row customHeight="1" ht="9">
      <c r="A146" s="852"/>
      <c r="B146" s="852"/>
      <c r="C146" s="850"/>
      <c r="D146" s="850"/>
      <c r="E146" s="850"/>
      <c r="F146" s="850"/>
      <c r="G146" s="850"/>
      <c r="H146" s="898"/>
      <c r="I146" s="898"/>
      <c r="J146" s="898"/>
      <c r="K146" s="898"/>
      <c r="L146" s="898"/>
      <c r="M146" s="850"/>
      <c r="N146" s="897"/>
      <c r="O146" s="850"/>
      <c r="P146" s="850"/>
      <c r="Q146" s="850"/>
      <c r="R146" s="850"/>
      <c r="S146" s="850"/>
      <c r="T146" s="850"/>
      <c r="U146" s="850"/>
      <c r="V146" s="850"/>
      <c r="W146" s="850"/>
      <c r="X146" s="850"/>
      <c r="Y146" s="1007"/>
      <c r="Z146" s="853"/>
      <c r="AA146" s="856"/>
      <c r="AB146" s="853"/>
      <c r="AC146" s="853"/>
      <c r="AD146" s="853"/>
    </row>
    <row customHeight="1" ht="9">
      <c r="A147" s="852"/>
      <c r="B147" s="852"/>
      <c r="C147" s="852"/>
      <c r="D147" s="852"/>
      <c r="E147" s="852"/>
      <c r="F147" s="852"/>
      <c r="G147" s="852"/>
      <c r="H147" s="852"/>
      <c r="I147" s="852"/>
      <c r="J147" s="852"/>
      <c r="K147" s="852"/>
      <c r="L147" s="852"/>
      <c r="M147" s="852"/>
      <c r="N147" s="852"/>
      <c r="O147" s="852"/>
      <c r="P147" s="852"/>
      <c r="Q147" s="852"/>
      <c r="R147" s="852"/>
      <c r="S147" s="852"/>
      <c r="T147" s="852"/>
      <c r="U147" s="852"/>
      <c r="V147" s="852"/>
      <c r="W147" s="852"/>
      <c r="X147" s="852"/>
      <c r="Y147" s="852"/>
      <c r="Z147" s="852"/>
      <c r="AA147" s="852"/>
      <c r="AB147" s="852"/>
      <c r="AC147" s="852"/>
      <c r="AD147" s="852"/>
    </row>
    <row customHeight="1" ht="90">
      <c r="A148" s="852" t="s">
        <v>1813</v>
      </c>
      <c r="B148" s="852"/>
      <c r="C148" s="850" t="s">
        <v>2375</v>
      </c>
      <c r="D148" s="850" t="s">
        <v>1717</v>
      </c>
      <c r="E148" s="850" t="s">
        <v>1815</v>
      </c>
      <c r="F148" s="850" t="s">
        <v>2376</v>
      </c>
      <c r="G148" s="850"/>
      <c r="H148" s="850"/>
      <c r="I148" s="970"/>
      <c r="J148" s="970"/>
      <c r="K148" s="970"/>
      <c r="L148" s="970"/>
      <c r="M148" s="900"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55"/>
      <c r="O148" s="850"/>
      <c r="P148" s="851"/>
      <c r="Q148" s="851"/>
      <c r="R148" s="851"/>
      <c r="S148" s="850"/>
      <c r="T148" s="850" t="s">
        <v>2377</v>
      </c>
      <c r="U148" s="851"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51"/>
      <c r="W148" s="851"/>
      <c r="X148" s="850" t="s">
        <v>2378</v>
      </c>
      <c r="Y148" s="1007"/>
      <c r="Z148" s="853"/>
      <c r="AA148" s="856"/>
      <c r="AB148" s="853"/>
      <c r="AC148" s="853"/>
      <c r="AD148" s="853"/>
    </row>
    <row customHeight="1" ht="9">
      <c r="A149" s="852"/>
      <c r="B149" s="852"/>
      <c r="C149" s="852"/>
      <c r="D149" s="852"/>
      <c r="E149" s="852"/>
      <c r="F149" s="852"/>
      <c r="G149" s="852"/>
      <c r="H149" s="852"/>
      <c r="I149" s="852"/>
      <c r="J149" s="852"/>
      <c r="K149" s="852"/>
      <c r="L149" s="852"/>
      <c r="M149" s="852"/>
      <c r="N149" s="852"/>
      <c r="O149" s="852"/>
      <c r="P149" s="852"/>
      <c r="Q149" s="852"/>
      <c r="R149" s="852"/>
      <c r="S149" s="852"/>
      <c r="T149" s="852"/>
      <c r="U149" s="852"/>
      <c r="V149" s="852"/>
      <c r="W149" s="852"/>
      <c r="X149" s="852"/>
      <c r="Y149" s="852"/>
      <c r="Z149" s="852"/>
      <c r="AA149" s="852"/>
      <c r="AB149" s="852"/>
      <c r="AC149" s="852"/>
      <c r="AD149" s="852"/>
    </row>
    <row customHeight="1" ht="9">
      <c r="A150" s="852" t="s">
        <v>1817</v>
      </c>
      <c r="B150" s="852"/>
      <c r="C150" s="850"/>
      <c r="D150" s="850"/>
      <c r="E150" s="850"/>
      <c r="F150" s="850"/>
      <c r="G150" s="850"/>
      <c r="H150" s="850"/>
      <c r="I150" s="850"/>
      <c r="J150" s="850"/>
      <c r="K150" s="850"/>
      <c r="L150" s="850"/>
      <c r="M150" s="850"/>
      <c r="N150" s="850"/>
      <c r="O150" s="850"/>
      <c r="P150" s="850"/>
      <c r="Q150" s="850"/>
      <c r="R150" s="850"/>
      <c r="S150" s="850"/>
      <c r="T150" s="850"/>
      <c r="U150" s="850"/>
      <c r="V150" s="850"/>
      <c r="W150" s="850"/>
      <c r="X150" s="850"/>
      <c r="Y150" s="1007"/>
      <c r="Z150" s="853"/>
      <c r="AA150" s="856"/>
      <c r="AB150" s="853"/>
      <c r="AC150" s="853"/>
      <c r="AD150" s="853"/>
    </row>
    <row customHeight="1" ht="9">
      <c r="A151" s="852"/>
      <c r="B151" s="852"/>
      <c r="C151" s="852"/>
      <c r="D151" s="852"/>
      <c r="E151" s="852"/>
      <c r="F151" s="852"/>
      <c r="G151" s="852"/>
      <c r="H151" s="852"/>
      <c r="I151" s="852"/>
      <c r="J151" s="852"/>
      <c r="K151" s="852"/>
      <c r="L151" s="852"/>
      <c r="M151" s="852"/>
      <c r="N151" s="852"/>
      <c r="O151" s="852"/>
      <c r="P151" s="852"/>
      <c r="Q151" s="852"/>
      <c r="R151" s="852"/>
      <c r="S151" s="852"/>
      <c r="T151" s="852"/>
      <c r="U151" s="852"/>
      <c r="V151" s="852"/>
      <c r="W151" s="852"/>
      <c r="X151" s="852"/>
      <c r="Y151" s="852"/>
      <c r="Z151" s="852"/>
      <c r="AA151" s="852"/>
      <c r="AB151" s="852"/>
      <c r="AC151" s="852"/>
      <c r="AD151" s="852"/>
    </row>
    <row customHeight="1" ht="9">
      <c r="A152" s="852" t="s">
        <v>1820</v>
      </c>
      <c r="B152" s="852"/>
      <c r="C152" s="850"/>
      <c r="D152" s="850"/>
      <c r="E152" s="850"/>
      <c r="F152" s="850"/>
      <c r="G152" s="850"/>
      <c r="H152" s="850"/>
      <c r="I152" s="850"/>
      <c r="J152" s="850"/>
      <c r="K152" s="850"/>
      <c r="L152" s="850"/>
      <c r="M152" s="850"/>
      <c r="N152" s="850"/>
      <c r="O152" s="850"/>
      <c r="P152" s="850"/>
      <c r="Q152" s="850"/>
      <c r="R152" s="850"/>
      <c r="S152" s="850"/>
      <c r="T152" s="850"/>
      <c r="U152" s="850"/>
      <c r="V152" s="850"/>
      <c r="W152" s="850"/>
      <c r="X152" s="850"/>
      <c r="Y152" s="1007"/>
      <c r="Z152" s="853"/>
      <c r="AA152" s="856"/>
      <c r="AB152" s="853"/>
      <c r="AC152" s="853"/>
      <c r="AD152" s="853"/>
    </row>
    <row customHeight="1" ht="9">
      <c r="A153" s="852"/>
      <c r="B153" s="852"/>
      <c r="C153" s="852"/>
      <c r="D153" s="852"/>
      <c r="E153" s="852"/>
      <c r="F153" s="852"/>
      <c r="G153" s="852"/>
      <c r="H153" s="852"/>
      <c r="I153" s="852"/>
      <c r="J153" s="852"/>
      <c r="K153" s="852"/>
      <c r="L153" s="852"/>
      <c r="M153" s="852"/>
      <c r="N153" s="852"/>
      <c r="O153" s="852"/>
      <c r="P153" s="852"/>
      <c r="Q153" s="852"/>
      <c r="R153" s="852"/>
      <c r="S153" s="852"/>
      <c r="T153" s="852"/>
      <c r="U153" s="852"/>
      <c r="V153" s="852"/>
      <c r="W153" s="852"/>
      <c r="X153" s="852"/>
      <c r="Y153" s="852"/>
      <c r="Z153" s="852"/>
      <c r="AA153" s="852"/>
      <c r="AB153" s="852"/>
      <c r="AC153" s="852"/>
      <c r="AD153" s="852"/>
    </row>
    <row customHeight="1" ht="9">
      <c r="A154" s="852" t="s">
        <v>1824</v>
      </c>
      <c r="B154" s="852"/>
      <c r="C154" s="850"/>
      <c r="D154" s="850"/>
      <c r="E154" s="850"/>
      <c r="F154" s="850"/>
      <c r="G154" s="850"/>
      <c r="H154" s="850"/>
      <c r="I154" s="850"/>
      <c r="J154" s="850"/>
      <c r="K154" s="850"/>
      <c r="L154" s="850"/>
      <c r="M154" s="850"/>
      <c r="N154" s="850"/>
      <c r="O154" s="850"/>
      <c r="P154" s="850"/>
      <c r="Q154" s="850"/>
      <c r="R154" s="850"/>
      <c r="S154" s="850"/>
      <c r="T154" s="850"/>
      <c r="U154" s="850"/>
      <c r="V154" s="850"/>
      <c r="W154" s="850"/>
      <c r="X154" s="850"/>
      <c r="Y154" s="1007"/>
      <c r="Z154" s="853"/>
      <c r="AA154" s="856"/>
      <c r="AB154" s="853"/>
      <c r="AC154" s="853"/>
      <c r="AD154" s="853"/>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83990D-734D-1EB4-212C-52FABF68B5B9}"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73" width="10.57421875" hidden="1"/>
    <col min="2" max="2" style="1373" width="11.00390625" hidden="1" customWidth="1"/>
    <col min="3" max="3" style="1373" width="10.57421875" hidden="1"/>
    <col min="4" max="4" style="1373" width="11.8515625" hidden="1" customWidth="1"/>
    <col min="5" max="5" style="1373" width="12.28125" hidden="1" customWidth="1"/>
    <col min="6" max="8" style="1783" width="12.28125" hidden="1" customWidth="1"/>
    <col min="9" max="9" style="2404" width="3.00390625" customWidth="1"/>
    <col min="10" max="11" style="351" width="3.00390625" customWidth="1"/>
    <col min="12" max="12" style="2414" width="12.00390625" customWidth="1"/>
    <col min="13" max="13" style="1642" width="31.00390625" customWidth="1"/>
    <col min="14" max="14" style="1642" width="1.00390625" customWidth="1"/>
    <col min="15" max="18" style="1642" width="24.00390625" customWidth="1"/>
    <col min="19" max="19" style="1642" width="11.00390625" customWidth="1"/>
    <col min="20" max="20" style="1642" width="3.7109375" customWidth="1"/>
    <col min="21" max="21" style="1642" width="11.00390625" customWidth="1"/>
    <col min="22" max="22" style="1642" width="8.57421875" customWidth="1"/>
    <col min="23" max="23" style="1642" width="4.00390625" customWidth="1"/>
    <col min="24" max="24" style="1642" width="115.00390625" customWidth="1"/>
    <col min="25" max="29" style="1649" width="10.00390625" customWidth="1"/>
    <col min="30" max="30" style="1642" width="10.57421875" hidden="1"/>
  </cols>
  <sheetData>
    <row customHeight="1" ht="22.5" hidden="1">
      <c r="R1" s="334"/>
      <c r="S1" s="334"/>
      <c r="AD1" s="1162" t="s">
        <v>14</v>
      </c>
    </row>
    <row customHeight="1" ht="14.25" hidden="1">
      <c r="V2" s="334"/>
      <c r="AD2" s="1162">
        <v>0</v>
      </c>
    </row>
    <row customHeight="1" ht="14.25" hidden="1">
      <c r="AD3" s="1162">
        <v>0</v>
      </c>
    </row>
    <row customHeight="1" ht="14.699999999999998">
      <c r="J4" s="383"/>
      <c r="K4" s="383"/>
      <c r="L4" s="1282"/>
      <c r="M4" s="370"/>
      <c r="N4" s="370"/>
      <c r="O4" s="516"/>
      <c r="P4" s="516"/>
      <c r="Q4" s="516"/>
      <c r="R4" s="516"/>
      <c r="S4" s="516"/>
      <c r="T4" s="516"/>
      <c r="U4" s="516"/>
      <c r="V4" s="516"/>
      <c r="AD4" s="1162">
        <v>14</v>
      </c>
    </row>
    <row customHeight="1" ht="67.2">
      <c r="J5" s="383"/>
      <c r="K5" s="383"/>
      <c r="L5" s="2610" t="s">
        <v>2379</v>
      </c>
      <c r="M5" s="2610"/>
      <c r="N5" s="2610"/>
      <c r="O5" s="2610"/>
      <c r="P5" s="2610"/>
      <c r="Q5" s="2610"/>
      <c r="R5" s="2610"/>
      <c r="S5" s="2610"/>
      <c r="T5" s="2610"/>
      <c r="U5" s="2610"/>
      <c r="V5" s="1250"/>
      <c r="AD5" s="1162">
        <v>64</v>
      </c>
    </row>
    <row customHeight="1" ht="14.699999999999998">
      <c r="J6" s="383"/>
      <c r="K6" s="383"/>
      <c r="L6" s="2611" t="str">
        <f>IF(org=0,"Не определено",org)</f>
        <v>ГУП "Белоблводоканал"</v>
      </c>
      <c r="M6" s="2611"/>
      <c r="N6" s="2611"/>
      <c r="O6" s="2611"/>
      <c r="P6" s="2611"/>
      <c r="Q6" s="2611"/>
      <c r="R6" s="2611"/>
      <c r="S6" s="2611"/>
      <c r="T6" s="2611"/>
      <c r="U6" s="2611"/>
      <c r="V6" s="1250"/>
      <c r="AD6" s="1162">
        <v>14</v>
      </c>
    </row>
    <row customHeight="1" ht="14.699999999999998">
      <c r="J7" s="383"/>
      <c r="K7" s="383"/>
      <c r="L7" s="1282"/>
      <c r="M7" s="370"/>
      <c r="N7" s="370"/>
      <c r="O7" s="329"/>
      <c r="P7" s="329"/>
      <c r="Q7" s="329"/>
      <c r="R7" s="329"/>
      <c r="S7" s="329"/>
      <c r="T7" s="329"/>
      <c r="U7" s="329"/>
      <c r="V7" s="329"/>
      <c r="W7" s="516"/>
      <c r="AD7" s="1162">
        <v>14</v>
      </c>
    </row>
    <row s="1860" customFormat="1" customHeight="1" ht="48.29999999999999">
      <c r="A8" s="1375"/>
      <c r="B8" s="1375"/>
      <c r="C8" s="1375"/>
      <c r="D8" s="1375"/>
      <c r="E8" s="1375"/>
      <c r="F8" s="1375"/>
      <c r="G8" s="1375"/>
      <c r="H8" s="1375"/>
      <c r="L8" s="1283"/>
      <c r="M8" s="302" t="s">
        <v>42</v>
      </c>
      <c r="N8" s="311"/>
      <c r="O8" s="2258" t="str">
        <f>IF(TITLE_NAME_OR_PR_CHANGE="",IF(TITLE_NAME_OR_PR="","",TITLE_NAME_OR_PR),TITLE_NAME_OR_PR_CHANGE)</f>
        <v/>
      </c>
      <c r="P8" s="2258"/>
      <c r="Q8" s="2258"/>
      <c r="R8" s="2258"/>
      <c r="S8" s="2258"/>
      <c r="T8" s="2258"/>
      <c r="U8" s="2258"/>
      <c r="V8" s="333"/>
      <c r="W8" s="333"/>
      <c r="X8" s="287"/>
      <c r="Y8" s="375"/>
      <c r="Z8" s="375"/>
      <c r="AA8" s="375"/>
      <c r="AB8" s="375"/>
      <c r="AC8" s="375"/>
      <c r="AD8" s="425">
        <v>46</v>
      </c>
    </row>
    <row s="1860" customFormat="1" customHeight="1" ht="24">
      <c r="A9" s="1375"/>
      <c r="B9" s="1375"/>
      <c r="C9" s="1375"/>
      <c r="D9" s="1375"/>
      <c r="E9" s="1375"/>
      <c r="F9" s="1375"/>
      <c r="G9" s="1375"/>
      <c r="H9" s="1375"/>
      <c r="L9" s="1283"/>
      <c r="M9" s="302" t="s">
        <v>584</v>
      </c>
      <c r="N9" s="311"/>
      <c r="O9" s="2258" t="str">
        <f>IF(TITLE_DATE_CHANGE_PERIOD="",IF(TITLE_DATE_PR="","",TITLE_DATE_PR),TITLE_DATE_CHANGE_PERIOD)</f>
        <v>45658</v>
      </c>
      <c r="P9" s="2258"/>
      <c r="Q9" s="2258"/>
      <c r="R9" s="2258"/>
      <c r="S9" s="2258"/>
      <c r="T9" s="2258"/>
      <c r="U9" s="2258"/>
      <c r="V9" s="333"/>
      <c r="W9" s="333"/>
      <c r="X9" s="287"/>
      <c r="Y9" s="375"/>
      <c r="Z9" s="375"/>
      <c r="AA9" s="375"/>
      <c r="AB9" s="375"/>
      <c r="AC9" s="375"/>
      <c r="AD9" s="425">
        <v>23</v>
      </c>
    </row>
    <row s="1860" customFormat="1" customHeight="1" ht="24">
      <c r="A10" s="1375"/>
      <c r="B10" s="1375"/>
      <c r="C10" s="1375"/>
      <c r="D10" s="1375"/>
      <c r="E10" s="1375"/>
      <c r="F10" s="1375"/>
      <c r="G10" s="1375"/>
      <c r="H10" s="1375"/>
      <c r="L10" s="1257"/>
      <c r="M10" s="302" t="s">
        <v>585</v>
      </c>
      <c r="N10" s="311"/>
      <c r="O10" s="2258" t="str">
        <f>IF(TITLE_NUMBER_PR_CHANGE="",IF(TITLE_NUMBER_PR="","",TITLE_NUMBER_PR),TITLE_NUMBER_PR_CHANGE)</f>
        <v>29-12/1427</v>
      </c>
      <c r="P10" s="2258"/>
      <c r="Q10" s="2258"/>
      <c r="R10" s="2258"/>
      <c r="S10" s="2258"/>
      <c r="T10" s="2258"/>
      <c r="U10" s="2258"/>
      <c r="V10" s="333"/>
      <c r="W10" s="333"/>
      <c r="X10" s="287"/>
      <c r="Y10" s="375"/>
      <c r="Z10" s="375"/>
      <c r="AA10" s="375"/>
      <c r="AB10" s="375"/>
      <c r="AC10" s="375"/>
      <c r="AD10" s="425">
        <v>23</v>
      </c>
    </row>
    <row s="1860" customFormat="1" customHeight="1" ht="24">
      <c r="A11" s="1375"/>
      <c r="B11" s="1375"/>
      <c r="C11" s="1375"/>
      <c r="D11" s="1375"/>
      <c r="E11" s="1375"/>
      <c r="F11" s="1375"/>
      <c r="G11" s="1375"/>
      <c r="H11" s="1375"/>
      <c r="L11" s="1257"/>
      <c r="M11" s="302" t="s">
        <v>43</v>
      </c>
      <c r="N11" s="311"/>
      <c r="O11" s="2258" t="str">
        <f>IF(TITLE_IST_PUB_CHANGE="",IF(TITLE_IST_PUB="","",TITLE_IST_PUB),TITLE_IST_PUB_CHANGE)</f>
        <v/>
      </c>
      <c r="P11" s="2258"/>
      <c r="Q11" s="2258"/>
      <c r="R11" s="2258"/>
      <c r="S11" s="2258"/>
      <c r="T11" s="2258"/>
      <c r="U11" s="2258"/>
      <c r="V11" s="333"/>
      <c r="W11" s="333"/>
      <c r="X11" s="287"/>
      <c r="Y11" s="375"/>
      <c r="Z11" s="375"/>
      <c r="AA11" s="375"/>
      <c r="AB11" s="375"/>
      <c r="AC11" s="375"/>
      <c r="AD11" s="425">
        <v>23</v>
      </c>
    </row>
    <row s="1860" customFormat="1" customHeight="1" ht="11.25" hidden="1">
      <c r="A12" s="1375"/>
      <c r="B12" s="1375"/>
      <c r="C12" s="1375"/>
      <c r="D12" s="1375"/>
      <c r="E12" s="1375"/>
      <c r="F12" s="1375"/>
      <c r="G12" s="1375"/>
      <c r="H12" s="1375"/>
      <c r="L12" s="2612"/>
      <c r="M12" s="2612"/>
      <c r="N12" s="1294"/>
      <c r="O12" s="333"/>
      <c r="P12" s="333"/>
      <c r="Q12" s="333"/>
      <c r="R12" s="333"/>
      <c r="S12" s="333"/>
      <c r="T12" s="333"/>
      <c r="U12" s="333"/>
      <c r="V12" s="285" t="s">
        <v>588</v>
      </c>
      <c r="Y12" s="375"/>
      <c r="Z12" s="375"/>
      <c r="AA12" s="375"/>
      <c r="AB12" s="375"/>
      <c r="AC12" s="375"/>
      <c r="AD12" s="425">
        <v>0</v>
      </c>
    </row>
    <row customHeight="1" ht="14.699999999999998">
      <c r="J13" s="383"/>
      <c r="K13" s="383"/>
      <c r="L13" s="1282"/>
      <c r="M13" s="370"/>
      <c r="N13" s="1251"/>
      <c r="O13" s="2259"/>
      <c r="P13" s="2259"/>
      <c r="Q13" s="2259"/>
      <c r="R13" s="2259"/>
      <c r="S13" s="2259"/>
      <c r="T13" s="2259"/>
      <c r="U13" s="2259"/>
      <c r="V13" s="2259"/>
      <c r="AD13" s="1162">
        <v>14</v>
      </c>
    </row>
    <row customHeight="1" ht="14.699999999999998">
      <c r="J14" s="383"/>
      <c r="K14" s="383"/>
      <c r="L14" s="2134" t="s">
        <v>463</v>
      </c>
      <c r="M14" s="2134"/>
      <c r="N14" s="2134"/>
      <c r="O14" s="2134"/>
      <c r="P14" s="2134"/>
      <c r="Q14" s="2134"/>
      <c r="R14" s="2134"/>
      <c r="S14" s="2134"/>
      <c r="T14" s="2134"/>
      <c r="U14" s="2134"/>
      <c r="V14" s="2134"/>
      <c r="W14" s="2134"/>
      <c r="X14" s="2134" t="s">
        <v>464</v>
      </c>
      <c r="AD14" s="1162">
        <v>14</v>
      </c>
    </row>
    <row customHeight="1" ht="14.699999999999998">
      <c r="J15" s="383"/>
      <c r="K15" s="383"/>
      <c r="L15" s="2280" t="s">
        <v>88</v>
      </c>
      <c r="M15" s="2216" t="s">
        <v>589</v>
      </c>
      <c r="N15" s="308"/>
      <c r="O15" s="2281" t="s">
        <v>2380</v>
      </c>
      <c r="P15" s="2282"/>
      <c r="Q15" s="2282"/>
      <c r="R15" s="2282"/>
      <c r="S15" s="2282"/>
      <c r="T15" s="2282"/>
      <c r="U15" s="2283"/>
      <c r="V15" s="2284" t="s">
        <v>591</v>
      </c>
      <c r="W15" s="2287" t="s">
        <v>1306</v>
      </c>
      <c r="X15" s="2134"/>
      <c r="AD15" s="1162">
        <v>14</v>
      </c>
    </row>
    <row customHeight="1" ht="35.699999999999996">
      <c r="J16" s="383"/>
      <c r="K16" s="383"/>
      <c r="L16" s="2280"/>
      <c r="M16" s="2216"/>
      <c r="N16" s="1038"/>
      <c r="O16" s="2267" t="s">
        <v>594</v>
      </c>
      <c r="P16" s="2267" t="s">
        <v>595</v>
      </c>
      <c r="Q16" s="2269" t="s">
        <v>596</v>
      </c>
      <c r="R16" s="2270"/>
      <c r="S16" s="2269" t="s">
        <v>609</v>
      </c>
      <c r="T16" s="2276"/>
      <c r="U16" s="2270"/>
      <c r="V16" s="2285"/>
      <c r="W16" s="2288"/>
      <c r="X16" s="2134"/>
      <c r="AD16" s="1162">
        <v>34</v>
      </c>
    </row>
    <row customHeight="1" ht="35.699999999999996">
      <c r="A17" s="1377" t="s">
        <v>226</v>
      </c>
      <c r="B17" s="1377" t="s">
        <v>227</v>
      </c>
      <c r="C17" s="1377" t="s">
        <v>228</v>
      </c>
      <c r="D17" s="1377" t="s">
        <v>229</v>
      </c>
      <c r="E17" s="1377"/>
      <c r="J17" s="383"/>
      <c r="K17" s="383"/>
      <c r="L17" s="2280"/>
      <c r="M17" s="2216"/>
      <c r="N17" s="309"/>
      <c r="O17" s="2268"/>
      <c r="P17" s="2268"/>
      <c r="Q17" s="1229" t="s">
        <v>605</v>
      </c>
      <c r="R17" s="1229" t="s">
        <v>606</v>
      </c>
      <c r="S17" s="1299" t="s">
        <v>607</v>
      </c>
      <c r="T17" s="2277" t="s">
        <v>608</v>
      </c>
      <c r="U17" s="2278"/>
      <c r="V17" s="2286"/>
      <c r="W17" s="2289"/>
      <c r="X17" s="2134"/>
      <c r="AD17" s="1162">
        <v>34</v>
      </c>
    </row>
    <row s="1648" customFormat="1" customHeight="1" ht="11.549999999999999">
      <c r="A18" s="1377"/>
      <c r="B18" s="1377"/>
      <c r="C18" s="1377"/>
      <c r="D18" s="1377"/>
      <c r="E18" s="1377"/>
      <c r="F18" s="1369"/>
      <c r="G18" s="1369"/>
      <c r="H18" s="1369"/>
      <c r="I18" s="1253"/>
      <c r="J18" s="1254"/>
      <c r="K18" s="1261">
        <v>1</v>
      </c>
      <c r="L18" s="1284" t="s">
        <v>108</v>
      </c>
      <c r="M18" s="1262" t="s">
        <v>99</v>
      </c>
      <c r="N18" s="1252" t="str">
        <f>OFFSET(N18,0,-1)</f>
        <v>2</v>
      </c>
      <c r="O18" s="1296">
        <f>OFFSET(O18,0,-1)+1</f>
        <v>3</v>
      </c>
      <c r="P18" s="1296"/>
      <c r="Q18" s="1296">
        <f>OFFSET(Q18,0,-1)+1</f>
        <v>1</v>
      </c>
      <c r="R18" s="1296">
        <f>OFFSET(R18,0,-1)+1</f>
        <v>2</v>
      </c>
      <c r="S18" s="1296">
        <f>OFFSET(S18,0,-1)+1</f>
        <v>3</v>
      </c>
      <c r="T18" s="2279">
        <f>OFFSET(T18,0,-1)+1</f>
        <v>4</v>
      </c>
      <c r="U18" s="2279"/>
      <c r="V18" s="1296">
        <f>OFFSET(V18,0,-2)+1</f>
        <v>5</v>
      </c>
      <c r="W18" s="1252">
        <f>OFFSET(W18,0,-1)</f>
        <v>5</v>
      </c>
      <c r="X18" s="1296">
        <f>OFFSET(X18,0,-1)+1</f>
        <v>6</v>
      </c>
      <c r="Y18" s="518"/>
      <c r="Z18" s="518"/>
      <c r="AA18" s="518"/>
      <c r="AB18" s="518"/>
      <c r="AC18" s="518"/>
      <c r="AD18" s="503">
        <v>11</v>
      </c>
    </row>
    <row customHeight="1" ht="21">
      <c r="A19" s="1370" t="s">
        <v>254</v>
      </c>
      <c r="B19" s="1370" t="s">
        <v>255</v>
      </c>
      <c r="C19" s="1370" t="s">
        <v>256</v>
      </c>
      <c r="D19" s="1370" t="s">
        <v>257</v>
      </c>
      <c r="E19" s="1370"/>
      <c r="F19" s="1372"/>
      <c r="G19" s="1372"/>
      <c r="H19" s="1372"/>
      <c r="I19" s="368"/>
      <c r="J19" s="367"/>
      <c r="K19" s="362"/>
      <c r="L19" s="1300">
        <f>INDEX(PT_DIFFERENTIATION_NUM_NTAR,MATCH(A19,PT_DIFFERENTIATION_NTAR_ID,0))</f>
        <v>0</v>
      </c>
      <c r="M19" s="305" t="s">
        <v>215</v>
      </c>
      <c r="N19" s="307"/>
      <c r="O19" s="2613" t="str">
        <f>INDEX(PT_DIFFERENTIATION_NTAR,MATCH(A19,PT_DIFFERENTIATION_NTAR_ID,0))</f>
        <v/>
      </c>
      <c r="P19" s="2613"/>
      <c r="Q19" s="2613"/>
      <c r="R19" s="2613"/>
      <c r="S19" s="2613"/>
      <c r="T19" s="2613"/>
      <c r="U19" s="2613"/>
      <c r="V19" s="2613"/>
      <c r="W19" s="2613"/>
      <c r="X19" s="1265" t="s">
        <v>559</v>
      </c>
      <c r="Z19" s="507"/>
      <c r="AA19" s="507" t="str">
        <f>IF(M19="","",M19)</f>
        <v>Наименование тарифа</v>
      </c>
      <c r="AB19" s="507"/>
      <c r="AC19" s="507"/>
      <c r="AD19" s="1162">
        <v>20</v>
      </c>
    </row>
    <row customHeight="1" ht="21">
      <c r="A20" s="1370" t="s">
        <v>254</v>
      </c>
      <c r="B20" s="1370" t="s">
        <v>255</v>
      </c>
      <c r="C20" s="1370" t="s">
        <v>256</v>
      </c>
      <c r="D20" s="1370" t="s">
        <v>257</v>
      </c>
      <c r="E20" s="1370"/>
      <c r="F20" s="1372"/>
      <c r="G20" s="1372"/>
      <c r="H20" s="1372"/>
      <c r="I20" s="1297"/>
      <c r="J20" s="359"/>
      <c r="K20" s="360"/>
      <c r="L20" s="1300" t="str">
        <f>INDEX(PT_DIFFERENTIATION_NUM_TER,MATCH(B19,PT_DIFFERENTIATION_TER_ID,0))</f>
        <v>.</v>
      </c>
      <c r="M20" s="315" t="s">
        <v>560</v>
      </c>
      <c r="N20" s="307"/>
      <c r="O20" s="2613" t="str">
        <f>INDEX(PT_DIFFERENTIATION_TER,MATCH(B19,PT_DIFFERENTIATION_TER_ID,0))</f>
        <v/>
      </c>
      <c r="P20" s="2613"/>
      <c r="Q20" s="2613"/>
      <c r="R20" s="2613"/>
      <c r="S20" s="2613"/>
      <c r="T20" s="2613"/>
      <c r="U20" s="2613"/>
      <c r="V20" s="2613"/>
      <c r="W20" s="2613"/>
      <c r="X20" s="1265" t="s">
        <v>561</v>
      </c>
      <c r="Z20" s="507"/>
      <c r="AA20" s="507" t="str">
        <f>IF(M20="","",M20)</f>
        <v>Территория действия тарифа</v>
      </c>
      <c r="AB20" s="507"/>
      <c r="AC20" s="507"/>
      <c r="AD20" s="1162">
        <v>20</v>
      </c>
    </row>
    <row customHeight="1" ht="24">
      <c r="A21" s="1370" t="s">
        <v>254</v>
      </c>
      <c r="B21" s="1370" t="s">
        <v>255</v>
      </c>
      <c r="C21" s="1370" t="s">
        <v>256</v>
      </c>
      <c r="D21" s="1370" t="s">
        <v>257</v>
      </c>
      <c r="E21" s="1370"/>
      <c r="F21" s="1372"/>
      <c r="G21" s="1372"/>
      <c r="H21" s="1372"/>
      <c r="I21" s="361"/>
      <c r="J21" s="359"/>
      <c r="K21" s="360"/>
      <c r="L21" s="1300" t="str">
        <f>INDEX(PT_DIFFERENTIATION_NUM_CS,MATCH(C19,PT_DIFFERENTIATION_CS_ID,0))</f>
        <v>..</v>
      </c>
      <c r="M21" s="316" t="s">
        <v>562</v>
      </c>
      <c r="N21" s="307"/>
      <c r="O21" s="2613" t="str">
        <f>INDEX(PT_DIFFERENTIATION_CS,MATCH(C19,PT_DIFFERENTIATION_CS_ID,0))</f>
        <v/>
      </c>
      <c r="P21" s="2613"/>
      <c r="Q21" s="2613"/>
      <c r="R21" s="2613"/>
      <c r="S21" s="2613"/>
      <c r="T21" s="2613"/>
      <c r="U21" s="2613"/>
      <c r="V21" s="2613"/>
      <c r="W21" s="2613"/>
      <c r="X21" s="1265" t="s">
        <v>563</v>
      </c>
      <c r="Z21" s="507"/>
      <c r="AA21" s="507" t="str">
        <f>IF(M21="","",M21)</f>
        <v>Наименование системы теплоснабжения </v>
      </c>
      <c r="AB21" s="507"/>
      <c r="AC21" s="507"/>
      <c r="AD21" s="1162">
        <v>23</v>
      </c>
    </row>
    <row customHeight="1" ht="21">
      <c r="A22" s="1370" t="s">
        <v>254</v>
      </c>
      <c r="B22" s="1370" t="s">
        <v>255</v>
      </c>
      <c r="C22" s="1370" t="s">
        <v>256</v>
      </c>
      <c r="D22" s="1370" t="s">
        <v>257</v>
      </c>
      <c r="E22" s="1370"/>
      <c r="F22" s="1372"/>
      <c r="G22" s="1372"/>
      <c r="H22" s="1372"/>
      <c r="I22" s="361"/>
      <c r="J22" s="359"/>
      <c r="K22" s="360"/>
      <c r="L22" s="1300" t="str">
        <f>INDEX(PT_DIFFERENTIATION_NUM_IST_TE,MATCH(D19,PT_DIFFERENTIATION_IST_TE_ID,0))</f>
        <v>...</v>
      </c>
      <c r="M22" s="317" t="s">
        <v>564</v>
      </c>
      <c r="N22" s="307"/>
      <c r="O22" s="2613" t="str">
        <f>INDEX(PT_DIFFERENTIATION_IST_TE,MATCH(D19,PT_DIFFERENTIATION_IST_TE_ID,0))</f>
        <v/>
      </c>
      <c r="P22" s="2613"/>
      <c r="Q22" s="2613"/>
      <c r="R22" s="2613"/>
      <c r="S22" s="2613"/>
      <c r="T22" s="2613"/>
      <c r="U22" s="2613"/>
      <c r="V22" s="2613"/>
      <c r="W22" s="2613"/>
      <c r="X22" s="1265" t="s">
        <v>565</v>
      </c>
      <c r="Z22" s="507"/>
      <c r="AA22" s="507" t="str">
        <f>IF(M22="","",M22)</f>
        <v>Источник тепловой энергии  </v>
      </c>
      <c r="AB22" s="507"/>
      <c r="AC22" s="507"/>
      <c r="AD22" s="1162">
        <v>20</v>
      </c>
    </row>
    <row customHeight="1" ht="96.75">
      <c r="A23" s="1370" t="s">
        <v>254</v>
      </c>
      <c r="B23" s="1370" t="s">
        <v>255</v>
      </c>
      <c r="C23" s="1370" t="s">
        <v>256</v>
      </c>
      <c r="D23" s="1370" t="s">
        <v>257</v>
      </c>
      <c r="E23" s="1370"/>
      <c r="F23" s="2614" t="str">
        <f>L22&amp;".1"</f>
        <v>....1</v>
      </c>
      <c r="I23" s="2264">
        <v>1</v>
      </c>
      <c r="J23" s="1298"/>
      <c r="K23" s="363"/>
      <c r="L23" s="1300" t="str">
        <f>$F$23</f>
        <v>....1</v>
      </c>
      <c r="M23" s="292" t="s">
        <v>567</v>
      </c>
      <c r="N23" s="307"/>
      <c r="O23" s="2312"/>
      <c r="P23" s="2312"/>
      <c r="Q23" s="2312"/>
      <c r="R23" s="2312"/>
      <c r="S23" s="2312"/>
      <c r="T23" s="2312"/>
      <c r="U23" s="2312"/>
      <c r="V23" s="2312"/>
      <c r="W23" s="2312"/>
      <c r="X23" s="1265" t="s">
        <v>568</v>
      </c>
      <c r="Z23" s="507"/>
      <c r="AA23" s="507" t="str">
        <f>IF(M23="","",M23)</f>
        <v>Схема подключения теплопотребляющей установки к коллектору источника тепловой энергии</v>
      </c>
      <c r="AB23" s="507"/>
      <c r="AC23" s="507"/>
      <c r="AD23" s="1162">
        <v>92</v>
      </c>
    </row>
    <row customHeight="1" ht="86.25">
      <c r="A24" s="1370" t="s">
        <v>254</v>
      </c>
      <c r="B24" s="1370" t="s">
        <v>255</v>
      </c>
      <c r="C24" s="1370" t="s">
        <v>256</v>
      </c>
      <c r="D24" s="1370" t="s">
        <v>257</v>
      </c>
      <c r="E24" s="1370"/>
      <c r="F24" s="2614"/>
      <c r="G24" s="2224" t="str">
        <f>F23&amp;".1"</f>
        <v>....1.1</v>
      </c>
      <c r="I24" s="2264"/>
      <c r="J24" s="2264">
        <v>1</v>
      </c>
      <c r="K24" s="364"/>
      <c r="L24" s="1300" t="str">
        <f>$G$24</f>
        <v>....1.1</v>
      </c>
      <c r="M24" s="293" t="s">
        <v>570</v>
      </c>
      <c r="N24" s="307"/>
      <c r="O24" s="2252"/>
      <c r="P24" s="2253"/>
      <c r="Q24" s="2253"/>
      <c r="R24" s="2253"/>
      <c r="S24" s="2253"/>
      <c r="T24" s="2253"/>
      <c r="U24" s="2253"/>
      <c r="V24" s="2253"/>
      <c r="W24" s="2254"/>
      <c r="X24" s="1265" t="s">
        <v>571</v>
      </c>
      <c r="Z24" s="507"/>
      <c r="AA24" s="507" t="str">
        <f>IF(M24="","",M24)</f>
        <v>Группа потребителей</v>
      </c>
      <c r="AB24" s="507"/>
      <c r="AC24" s="507"/>
      <c r="AD24" s="1162">
        <v>82</v>
      </c>
    </row>
    <row customHeight="1" ht="11.549999999999999">
      <c r="A25" s="1370" t="s">
        <v>254</v>
      </c>
      <c r="B25" s="1370" t="s">
        <v>255</v>
      </c>
      <c r="C25" s="1370" t="s">
        <v>256</v>
      </c>
      <c r="D25" s="1370" t="s">
        <v>257</v>
      </c>
      <c r="E25" s="1370"/>
      <c r="F25" s="2614"/>
      <c r="G25" s="2224"/>
      <c r="H25" s="2224" t="str">
        <f>G24&amp;".1"</f>
        <v>....1.1.1</v>
      </c>
      <c r="I25" s="2264"/>
      <c r="J25" s="2264"/>
      <c r="K25" s="364">
        <v>1</v>
      </c>
      <c r="L25" s="1300" t="str">
        <f>$H$25</f>
        <v>....1.1.1</v>
      </c>
      <c r="M25" s="1354"/>
      <c r="N25" s="307"/>
      <c r="O25" s="758"/>
      <c r="P25" s="332"/>
      <c r="Q25" s="758"/>
      <c r="R25" s="1264"/>
      <c r="S25" s="2609"/>
      <c r="T25" s="2114" t="s">
        <v>66</v>
      </c>
      <c r="U25" s="2609"/>
      <c r="V25" s="2114" t="s">
        <v>19</v>
      </c>
      <c r="W25" s="332"/>
      <c r="X25" s="2260" t="s">
        <v>573</v>
      </c>
      <c r="Y25" s="518">
        <f>STRCHECKDATE(O26:W26)</f>
      </c>
      <c r="Z25" s="507"/>
      <c r="AA25" s="507" t="str">
        <f>IF(M25="","",M25)</f>
        <v/>
      </c>
      <c r="AB25" s="507"/>
      <c r="AC25" s="507"/>
      <c r="AD25" s="1162">
        <v>11</v>
      </c>
    </row>
    <row customHeight="1" ht="11.549999999999999">
      <c r="A26" s="1370" t="s">
        <v>254</v>
      </c>
      <c r="B26" s="1370" t="s">
        <v>255</v>
      </c>
      <c r="C26" s="1370" t="s">
        <v>256</v>
      </c>
      <c r="D26" s="1370" t="s">
        <v>257</v>
      </c>
      <c r="E26" s="1370"/>
      <c r="F26" s="2614"/>
      <c r="G26" s="2224"/>
      <c r="H26" s="2224"/>
      <c r="I26" s="2264"/>
      <c r="J26" s="2264"/>
      <c r="K26" s="364"/>
      <c r="L26" s="1301"/>
      <c r="M26" s="307"/>
      <c r="N26" s="307"/>
      <c r="O26" s="332"/>
      <c r="P26" s="332"/>
      <c r="Q26" s="332"/>
      <c r="R26" s="335" t="str">
        <f>S25&amp;"-"&amp;U25</f>
        <v>-</v>
      </c>
      <c r="S26" s="2273"/>
      <c r="T26" s="2114"/>
      <c r="U26" s="2273"/>
      <c r="V26" s="2114"/>
      <c r="W26" s="332"/>
      <c r="X26" s="2261"/>
      <c r="Z26" s="507"/>
      <c r="AA26" s="507" t="str">
        <f>IF(M26="","",M26)</f>
        <v/>
      </c>
      <c r="AB26" s="507"/>
      <c r="AC26" s="507"/>
      <c r="AD26" s="1162">
        <v>11</v>
      </c>
    </row>
    <row customHeight="1" ht="15.75">
      <c r="A27" s="1370" t="s">
        <v>254</v>
      </c>
      <c r="B27" s="1370" t="s">
        <v>255</v>
      </c>
      <c r="C27" s="1370" t="s">
        <v>256</v>
      </c>
      <c r="D27" s="1370" t="s">
        <v>257</v>
      </c>
      <c r="E27" s="1370"/>
      <c r="F27" s="2614"/>
      <c r="G27" s="2224"/>
      <c r="I27" s="2264"/>
      <c r="J27" s="2264"/>
      <c r="K27" s="363"/>
      <c r="L27" s="1285"/>
      <c r="M27" s="295" t="s">
        <v>574</v>
      </c>
      <c r="N27" s="374"/>
      <c r="O27" s="374"/>
      <c r="P27" s="374"/>
      <c r="Q27" s="374"/>
      <c r="R27" s="374"/>
      <c r="S27" s="374"/>
      <c r="T27" s="374"/>
      <c r="U27" s="374"/>
      <c r="V27" s="374"/>
      <c r="W27" s="331"/>
      <c r="X27" s="2262"/>
      <c r="Z27" s="507"/>
      <c r="AA27" s="507" t="str">
        <f>IF(M27="","",M27)</f>
        <v>Добавить вид теплоносителя (параметры теплоносителя)</v>
      </c>
      <c r="AB27" s="507"/>
      <c r="AC27" s="507"/>
      <c r="AD27" s="1162">
        <v>15</v>
      </c>
    </row>
    <row customHeight="1" ht="15.75">
      <c r="A28" s="1370" t="s">
        <v>254</v>
      </c>
      <c r="B28" s="1370" t="s">
        <v>255</v>
      </c>
      <c r="C28" s="1370" t="s">
        <v>256</v>
      </c>
      <c r="D28" s="1370" t="s">
        <v>257</v>
      </c>
      <c r="E28" s="1370"/>
      <c r="F28" s="2614"/>
      <c r="I28" s="2264"/>
      <c r="J28" s="1298"/>
      <c r="K28" s="363"/>
      <c r="L28" s="1285"/>
      <c r="M28" s="294" t="s">
        <v>575</v>
      </c>
      <c r="N28" s="374"/>
      <c r="O28" s="374"/>
      <c r="P28" s="374"/>
      <c r="Q28" s="374"/>
      <c r="R28" s="374"/>
      <c r="S28" s="374"/>
      <c r="T28" s="374"/>
      <c r="U28" s="374"/>
      <c r="V28" s="373"/>
      <c r="W28" s="374"/>
      <c r="X28" s="310"/>
      <c r="Z28" s="507"/>
      <c r="AA28" s="507" t="str">
        <f>IF(M28="","",M28)</f>
        <v>Добавить группу потребителей</v>
      </c>
      <c r="AB28" s="507"/>
      <c r="AC28" s="507"/>
      <c r="AD28" s="1162">
        <v>15</v>
      </c>
    </row>
    <row customHeight="1" ht="14.699999999999998">
      <c r="A29" s="1370" t="s">
        <v>254</v>
      </c>
      <c r="B29" s="1370" t="s">
        <v>255</v>
      </c>
      <c r="C29" s="1370" t="s">
        <v>256</v>
      </c>
      <c r="D29" s="1370" t="s">
        <v>257</v>
      </c>
      <c r="E29" s="1370"/>
      <c r="F29" s="1372"/>
      <c r="G29" s="1372"/>
      <c r="H29" s="544"/>
      <c r="I29" s="367"/>
      <c r="J29" s="382"/>
      <c r="K29" s="362"/>
      <c r="L29" s="1285"/>
      <c r="M29" s="372" t="s">
        <v>576</v>
      </c>
      <c r="N29" s="374"/>
      <c r="O29" s="374"/>
      <c r="P29" s="374"/>
      <c r="Q29" s="374"/>
      <c r="R29" s="374"/>
      <c r="S29" s="374"/>
      <c r="T29" s="374"/>
      <c r="U29" s="374"/>
      <c r="V29" s="373"/>
      <c r="W29" s="374"/>
      <c r="X29" s="310"/>
      <c r="Z29" s="507"/>
      <c r="AA29" s="507" t="str">
        <f>IF(M29="","",M29)</f>
        <v>Добавить схему подключения</v>
      </c>
      <c r="AB29" s="507"/>
      <c r="AC29" s="507"/>
      <c r="AD29" s="1162">
        <v>14</v>
      </c>
    </row>
    <row customHeight="1" ht="14.699999999999998">
      <c r="A30" s="1370" t="s">
        <v>254</v>
      </c>
      <c r="B30" s="1370" t="s">
        <v>255</v>
      </c>
      <c r="C30" s="1370" t="s">
        <v>256</v>
      </c>
      <c r="D30" s="1370"/>
      <c r="E30" s="1370" t="s">
        <v>748</v>
      </c>
      <c r="F30" s="1372"/>
      <c r="G30" s="1372"/>
      <c r="H30" s="544"/>
      <c r="I30" s="367"/>
      <c r="J30" s="382"/>
      <c r="K30" s="362"/>
      <c r="L30" s="1286"/>
      <c r="M30" s="1275"/>
      <c r="N30" s="1276"/>
      <c r="O30" s="1276"/>
      <c r="P30" s="1276"/>
      <c r="Q30" s="1276"/>
      <c r="R30" s="1276"/>
      <c r="S30" s="1276"/>
      <c r="T30" s="1276"/>
      <c r="U30" s="1276"/>
      <c r="V30" s="1277"/>
      <c r="W30" s="1276"/>
      <c r="X30" s="1278"/>
      <c r="Z30" s="507"/>
      <c r="AA30" s="507" t="str">
        <f>IF(M30="","",M30)</f>
        <v/>
      </c>
      <c r="AB30" s="507"/>
      <c r="AC30" s="507"/>
      <c r="AD30" s="1162">
        <v>14</v>
      </c>
    </row>
    <row customHeight="1" ht="14.699999999999998">
      <c r="A31" s="1370" t="s">
        <v>254</v>
      </c>
      <c r="B31" s="1370" t="s">
        <v>255</v>
      </c>
      <c r="C31" s="1370"/>
      <c r="D31" s="1370"/>
      <c r="E31" s="1370" t="s">
        <v>2381</v>
      </c>
      <c r="F31" s="1524"/>
      <c r="G31" s="1524"/>
      <c r="H31" s="544"/>
      <c r="I31" s="365"/>
      <c r="J31" s="382"/>
      <c r="K31" s="366"/>
      <c r="L31" s="1286"/>
      <c r="M31" s="1279"/>
      <c r="N31" s="1276"/>
      <c r="O31" s="1276"/>
      <c r="P31" s="1276"/>
      <c r="Q31" s="1276"/>
      <c r="R31" s="1276"/>
      <c r="S31" s="1276"/>
      <c r="T31" s="1276"/>
      <c r="U31" s="1276"/>
      <c r="V31" s="1277"/>
      <c r="W31" s="1276"/>
      <c r="X31" s="1278"/>
      <c r="Z31" s="507"/>
      <c r="AA31" s="507" t="str">
        <f>IF(M31="","",M31)</f>
        <v/>
      </c>
      <c r="AB31" s="507"/>
      <c r="AC31" s="507"/>
      <c r="AD31" s="1162">
        <v>14</v>
      </c>
    </row>
    <row customHeight="1" ht="14.699999999999998">
      <c r="A32" s="1370" t="s">
        <v>2382</v>
      </c>
      <c r="B32" s="1370"/>
      <c r="C32" s="1370"/>
      <c r="D32" s="1370"/>
      <c r="E32" s="1370" t="s">
        <v>200</v>
      </c>
      <c r="F32" s="1524"/>
      <c r="G32" s="1524"/>
      <c r="H32" s="544"/>
      <c r="I32" s="367"/>
      <c r="J32" s="382"/>
      <c r="K32" s="362"/>
      <c r="L32" s="1286"/>
      <c r="M32" s="1280"/>
      <c r="N32" s="1276"/>
      <c r="O32" s="1276"/>
      <c r="P32" s="1276"/>
      <c r="Q32" s="1276"/>
      <c r="R32" s="1276"/>
      <c r="S32" s="1276"/>
      <c r="T32" s="1276"/>
      <c r="U32" s="1276"/>
      <c r="V32" s="1277"/>
      <c r="W32" s="1276"/>
      <c r="X32" s="1278"/>
      <c r="Z32" s="507"/>
      <c r="AA32" s="507" t="str">
        <f>IF(M32="","",M32)</f>
        <v/>
      </c>
      <c r="AB32" s="507"/>
      <c r="AC32" s="507"/>
      <c r="AD32" s="1162">
        <v>14</v>
      </c>
    </row>
    <row s="1857" customFormat="1" customHeight="1" ht="11.549999999999999">
      <c r="A33" s="1370"/>
      <c r="B33" s="1370"/>
      <c r="C33" s="1370"/>
      <c r="D33" s="1370"/>
      <c r="E33" s="1370" t="s">
        <v>391</v>
      </c>
      <c r="F33" s="1525"/>
      <c r="G33" s="1526"/>
      <c r="H33" s="544"/>
      <c r="L33" s="1287"/>
      <c r="M33" s="1281"/>
      <c r="N33" s="1276"/>
      <c r="O33" s="1276"/>
      <c r="P33" s="1276"/>
      <c r="Q33" s="1276"/>
      <c r="R33" s="1276"/>
      <c r="S33" s="1276"/>
      <c r="T33" s="1276"/>
      <c r="U33" s="1276"/>
      <c r="V33" s="1277"/>
      <c r="W33" s="1276"/>
      <c r="X33" s="1278"/>
      <c r="Y33" s="386"/>
      <c r="Z33" s="386"/>
      <c r="AA33" s="386"/>
      <c r="AB33" s="386"/>
      <c r="AC33" s="386"/>
      <c r="AD33" s="380">
        <v>11</v>
      </c>
    </row>
    <row customHeight="1" ht="11.549999999999999">
      <c r="F34" s="1167"/>
      <c r="G34" s="1167"/>
      <c r="H34" s="544"/>
      <c r="I34" s="1162"/>
      <c r="J34" s="1162"/>
      <c r="K34" s="1162"/>
      <c r="Y34" s="1162"/>
      <c r="Z34" s="1162"/>
      <c r="AA34" s="1162"/>
      <c r="AB34" s="1162"/>
      <c r="AC34" s="1162"/>
      <c r="AD34" s="1162">
        <v>11</v>
      </c>
    </row>
    <row customHeight="1" ht="28.5">
      <c r="H35" s="544"/>
      <c r="L35" s="1295" t="s">
        <v>965</v>
      </c>
      <c r="M35" s="2292" t="s">
        <v>2383</v>
      </c>
      <c r="N35" s="2292"/>
      <c r="O35" s="2292"/>
      <c r="P35" s="2292"/>
      <c r="Q35" s="2292"/>
      <c r="R35" s="2292"/>
      <c r="S35" s="2292"/>
      <c r="T35" s="2292"/>
      <c r="U35" s="2292"/>
      <c r="V35" s="2292"/>
      <c r="W35" s="2292"/>
      <c r="X35" s="2292"/>
      <c r="AD35" s="1162">
        <v>27</v>
      </c>
    </row>
    <row customHeight="1" ht="109.19999999999999">
      <c r="H36" s="544"/>
      <c r="I36" s="1310"/>
      <c r="M36" s="2292" t="s">
        <v>2384</v>
      </c>
      <c r="N36" s="2292"/>
      <c r="O36" s="2292"/>
      <c r="P36" s="2292"/>
      <c r="Q36" s="2292"/>
      <c r="R36" s="2292"/>
      <c r="S36" s="2292"/>
      <c r="T36" s="2292"/>
      <c r="U36" s="2292"/>
      <c r="V36" s="2292"/>
      <c r="W36" s="2292"/>
      <c r="X36" s="2292"/>
      <c r="AD36" s="1162">
        <v>104</v>
      </c>
    </row>
    <row customHeight="1" ht="14.699999999999998">
      <c r="H37" s="544"/>
      <c r="AD37" s="1162">
        <v>14</v>
      </c>
    </row>
    <row customHeight="1" ht="14.699999999999998">
      <c r="H38" s="544"/>
      <c r="AD38" s="1162">
        <v>14</v>
      </c>
    </row>
    <row customHeight="1" ht="14.699999999999998">
      <c r="H39" s="544"/>
      <c r="AD39" s="1162">
        <v>14</v>
      </c>
    </row>
    <row customHeight="1" ht="14.699999999999998">
      <c r="H40" s="544"/>
      <c r="AD40" s="1162">
        <v>14</v>
      </c>
    </row>
    <row customHeight="1" ht="22.5" hidden="1">
      <c r="A41" s="1167" t="s">
        <v>82</v>
      </c>
      <c r="B41" s="1167">
        <v>0</v>
      </c>
      <c r="C41" s="1167">
        <v>0</v>
      </c>
      <c r="D41" s="1167">
        <v>0</v>
      </c>
      <c r="E41" s="1167">
        <v>0</v>
      </c>
      <c r="F41" s="1369">
        <v>0</v>
      </c>
      <c r="G41" s="1369">
        <v>0</v>
      </c>
      <c r="H41" s="1369">
        <v>0</v>
      </c>
      <c r="I41" s="1293">
        <v>3</v>
      </c>
      <c r="J41" s="351">
        <v>3</v>
      </c>
      <c r="K41" s="351">
        <v>3</v>
      </c>
      <c r="L41" s="588">
        <v>12</v>
      </c>
      <c r="M41" s="1162">
        <v>31</v>
      </c>
      <c r="N41" s="1162">
        <v>1</v>
      </c>
      <c r="O41" s="1162">
        <v>24</v>
      </c>
      <c r="P41" s="1162">
        <v>24</v>
      </c>
      <c r="Q41" s="1162">
        <v>24</v>
      </c>
      <c r="R41" s="1162">
        <v>24</v>
      </c>
      <c r="S41" s="1162">
        <v>11</v>
      </c>
      <c r="T41" s="1162">
        <v>3</v>
      </c>
      <c r="U41" s="1162">
        <v>11</v>
      </c>
      <c r="V41" s="1162">
        <v>8</v>
      </c>
      <c r="W41" s="1162">
        <v>4</v>
      </c>
      <c r="X41" s="1162">
        <v>115</v>
      </c>
      <c r="Y41" s="518">
        <v>10</v>
      </c>
      <c r="Z41" s="518">
        <v>10</v>
      </c>
      <c r="AA41" s="518">
        <v>10</v>
      </c>
      <c r="AB41" s="518">
        <v>10</v>
      </c>
      <c r="AC41" s="518">
        <v>10</v>
      </c>
      <c r="AD41" s="1162">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9DBDF2-E5BB-3E1E-57D7-3233867BB01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B5C82F-3639-0131-EAB6-DC9EA1C8DAF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523CA9-84B4-0AD7-5F74-F147D25DDBC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4375C8-18B1-96A6-26D4-24E621036AF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F1C862-AD04-CBEC-9008-609F6A356F3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A411C7-E10D-6858-85B3-12CFD788179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0468A7-12C5-A71E-1F01-6DB55004100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ACF178C-5F6F-25EB-B9A8-E54AEB0F6C47}"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73"/>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9B9E73-B288-4FFE-FE34-5E826F5431B2}" mc:Ignorable="x14ac xr xr2 xr3">
  <dimension ref="A1:E8"/>
  <sheetViews>
    <sheetView topLeftCell="A1" showGridLines="0" workbookViewId="0">
      <selection activeCell="A1" sqref="A1"/>
    </sheetView>
  </sheetViews>
  <sheetFormatPr customHeight="1" defaultRowHeight="11.25"/>
  <cols>
    <col min="1" max="1" style="71" width="10.57421875" customWidth="1"/>
    <col min="2" max="2" style="71" width="8.7109375" customWidth="1"/>
    <col min="3" max="3" style="71" width="18.140625" customWidth="1"/>
    <col min="4" max="4" style="71" width="12.57421875" customWidth="1"/>
  </cols>
  <sheetData>
    <row customHeight="1" ht="11.25">
      <c r="A1" s="2622" t="s">
        <v>2385</v>
      </c>
      <c r="B1" s="2623" t="s">
        <v>2386</v>
      </c>
      <c r="C1" s="2624" t="s">
        <v>2387</v>
      </c>
      <c r="D1" s="2625"/>
      <c r="E1" s="843" t="s">
        <v>2388</v>
      </c>
    </row>
    <row customHeight="1" ht="11.25">
      <c r="A2" s="2626"/>
      <c r="B2" s="772" t="s">
        <v>26</v>
      </c>
      <c r="C2" s="760"/>
      <c r="D2" s="771"/>
      <c r="E2" s="843"/>
    </row>
    <row customHeight="1" ht="11.25">
      <c r="A3" s="2627"/>
      <c r="B3" s="2628" t="s">
        <v>33</v>
      </c>
      <c r="C3" s="760"/>
      <c r="D3" s="771"/>
      <c r="E3" s="843"/>
    </row>
    <row customHeight="1" ht="11.25">
      <c r="A4" s="2629"/>
      <c r="B4" s="773" t="s">
        <v>1813</v>
      </c>
      <c r="C4" s="760"/>
      <c r="D4" s="771"/>
      <c r="E4" s="843"/>
    </row>
    <row customHeight="1" ht="11.25">
      <c r="A5" s="2630"/>
      <c r="B5" s="773" t="s">
        <v>1807</v>
      </c>
      <c r="C5" s="2631" t="s">
        <v>2152</v>
      </c>
      <c r="D5" s="2632" t="s">
        <v>2389</v>
      </c>
      <c r="E5" s="843"/>
    </row>
    <row s="1857" customFormat="1" customHeight="1" ht="11.25">
      <c r="A6" s="2633"/>
      <c r="B6" s="773" t="s">
        <v>1817</v>
      </c>
      <c r="C6" s="760"/>
      <c r="D6" s="771"/>
      <c r="E6" s="843"/>
    </row>
    <row customHeight="1" ht="11.25">
      <c r="A7" s="2634"/>
      <c r="B7" s="773" t="s">
        <v>1824</v>
      </c>
      <c r="C7" s="760"/>
      <c r="D7" s="771"/>
      <c r="E7" s="843"/>
    </row>
    <row customHeight="1" ht="11.25">
      <c r="A8" s="763"/>
      <c r="B8" s="773" t="s">
        <v>1820</v>
      </c>
      <c r="C8" s="760"/>
      <c r="D8" s="771"/>
      <c r="E8" s="843"/>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C7B933-94ED-5732-D621-456AFAF5C5B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122663-6056-48B6-C0B8-607462A0B87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1A70A5-9C36-6B2D-0CA7-236C53F89E4B}" mc:Ignorable="x14ac xr xr2 xr3">
  <sheetPr>
    <tabColor rgb="FFFFCC99"/>
  </sheetPr>
  <dimension ref="A1:I242"/>
  <sheetViews>
    <sheetView topLeftCell="A1" showGridLines="0" workbookViewId="0">
      <selection activeCell="A1" sqref="A1"/>
    </sheetView>
  </sheetViews>
  <sheetFormatPr defaultColWidth="9.140625" customHeight="1" defaultRowHeight="11.25"/>
  <cols>
    <col min="1" max="2" style="1857" width="9.140625"/>
    <col min="3" max="3" style="1857" width="20.7109375" customWidth="1"/>
    <col min="4" max="4" style="1857" width="25.140625" customWidth="1"/>
    <col min="5" max="9" style="1857" width="9.140625"/>
  </cols>
  <sheetData>
    <row customHeight="1" ht="11.25">
      <c r="A1" s="75" t="s">
        <v>2390</v>
      </c>
      <c r="B1" s="75" t="s">
        <v>2391</v>
      </c>
      <c r="C1" s="75" t="s">
        <v>2392</v>
      </c>
      <c r="D1" s="75" t="s">
        <v>2393</v>
      </c>
      <c r="E1" s="75" t="s">
        <v>2394</v>
      </c>
      <c r="F1" s="75" t="s">
        <v>2395</v>
      </c>
      <c r="G1" s="75" t="s">
        <v>2396</v>
      </c>
      <c r="H1" s="75" t="s">
        <v>2397</v>
      </c>
      <c r="I1" s="75" t="s">
        <v>2398</v>
      </c>
    </row>
    <row customHeight="1" ht="11.25">
      <c r="A2" s="1857" t="s">
        <v>2399</v>
      </c>
      <c r="B2" s="1857" t="s">
        <v>16</v>
      </c>
      <c r="C2" s="1857" t="s">
        <v>2400</v>
      </c>
      <c r="D2" s="1857" t="s">
        <v>2401</v>
      </c>
      <c r="E2" s="1857" t="s">
        <v>2402</v>
      </c>
      <c r="F2" s="1857" t="s">
        <v>2403</v>
      </c>
      <c r="G2" s="1857" t="s">
        <v>2404</v>
      </c>
      <c r="H2" s="1857" t="s">
        <v>2405</v>
      </c>
      <c r="I2" s="1857" t="s">
        <v>969</v>
      </c>
    </row>
    <row customHeight="1" ht="11.25">
      <c r="A3" s="1857" t="s">
        <v>2399</v>
      </c>
      <c r="B3" s="1857" t="s">
        <v>16</v>
      </c>
      <c r="C3" s="1857" t="s">
        <v>2406</v>
      </c>
      <c r="D3" s="1857" t="s">
        <v>2407</v>
      </c>
      <c r="E3" s="1857" t="s">
        <v>2408</v>
      </c>
      <c r="F3" s="1857" t="s">
        <v>2409</v>
      </c>
      <c r="G3" s="1857" t="s">
        <v>28</v>
      </c>
      <c r="H3" s="1857" t="s">
        <v>28</v>
      </c>
      <c r="I3" s="1857" t="s">
        <v>969</v>
      </c>
    </row>
    <row customHeight="1" ht="11.25">
      <c r="A4" s="1857" t="s">
        <v>2399</v>
      </c>
      <c r="B4" s="1857" t="s">
        <v>16</v>
      </c>
      <c r="C4" s="1857" t="s">
        <v>2410</v>
      </c>
      <c r="D4" s="1857" t="s">
        <v>2411</v>
      </c>
      <c r="E4" s="1857" t="s">
        <v>2412</v>
      </c>
      <c r="F4" s="1857" t="s">
        <v>2409</v>
      </c>
      <c r="G4" s="1857" t="s">
        <v>28</v>
      </c>
      <c r="H4" s="1857" t="s">
        <v>28</v>
      </c>
      <c r="I4" s="1857" t="s">
        <v>969</v>
      </c>
    </row>
    <row customHeight="1" ht="11.25">
      <c r="A5" s="1857" t="s">
        <v>2399</v>
      </c>
      <c r="B5" s="1857" t="s">
        <v>16</v>
      </c>
      <c r="C5" s="1857" t="s">
        <v>2413</v>
      </c>
      <c r="D5" s="1857" t="s">
        <v>2414</v>
      </c>
      <c r="E5" s="1857" t="s">
        <v>2415</v>
      </c>
      <c r="F5" s="1857" t="s">
        <v>2403</v>
      </c>
      <c r="G5" s="1857" t="s">
        <v>28</v>
      </c>
      <c r="H5" s="1857" t="s">
        <v>28</v>
      </c>
      <c r="I5" s="1857" t="s">
        <v>969</v>
      </c>
    </row>
    <row customHeight="1" ht="11.25">
      <c r="A6" s="1857" t="s">
        <v>2399</v>
      </c>
      <c r="B6" s="1857" t="s">
        <v>16</v>
      </c>
      <c r="C6" s="1857" t="s">
        <v>2416</v>
      </c>
      <c r="D6" s="1857" t="s">
        <v>2417</v>
      </c>
      <c r="E6" s="1857" t="s">
        <v>2418</v>
      </c>
      <c r="F6" s="1857" t="s">
        <v>2419</v>
      </c>
      <c r="G6" s="1857" t="s">
        <v>2420</v>
      </c>
      <c r="H6" s="1857" t="s">
        <v>28</v>
      </c>
      <c r="I6" s="1857" t="s">
        <v>969</v>
      </c>
    </row>
    <row customHeight="1" ht="11.25">
      <c r="A7" s="1857" t="s">
        <v>2399</v>
      </c>
      <c r="B7" s="1857" t="s">
        <v>16</v>
      </c>
      <c r="C7" s="1857" t="s">
        <v>2421</v>
      </c>
      <c r="D7" s="1857" t="s">
        <v>2422</v>
      </c>
      <c r="E7" s="1857" t="s">
        <v>2423</v>
      </c>
      <c r="F7" s="1857" t="s">
        <v>2424</v>
      </c>
      <c r="G7" s="1857" t="s">
        <v>28</v>
      </c>
      <c r="H7" s="1857" t="s">
        <v>28</v>
      </c>
      <c r="I7" s="1857" t="s">
        <v>969</v>
      </c>
    </row>
    <row customHeight="1" ht="11.25">
      <c r="A8" s="1857" t="s">
        <v>2399</v>
      </c>
      <c r="B8" s="1857" t="s">
        <v>16</v>
      </c>
      <c r="C8" s="1857" t="s">
        <v>2425</v>
      </c>
      <c r="D8" s="1857" t="s">
        <v>2426</v>
      </c>
      <c r="E8" s="1857" t="s">
        <v>2427</v>
      </c>
      <c r="F8" s="1857" t="s">
        <v>2428</v>
      </c>
      <c r="G8" s="1857" t="s">
        <v>28</v>
      </c>
      <c r="H8" s="1857" t="s">
        <v>28</v>
      </c>
      <c r="I8" s="1857" t="s">
        <v>969</v>
      </c>
    </row>
    <row customHeight="1" ht="11.25">
      <c r="A9" s="1857" t="s">
        <v>2399</v>
      </c>
      <c r="B9" s="1857" t="s">
        <v>16</v>
      </c>
      <c r="C9" s="1857" t="s">
        <v>2429</v>
      </c>
      <c r="D9" s="1857" t="s">
        <v>2430</v>
      </c>
      <c r="E9" s="1857" t="s">
        <v>2431</v>
      </c>
      <c r="F9" s="1857" t="s">
        <v>2432</v>
      </c>
      <c r="G9" s="1857" t="s">
        <v>28</v>
      </c>
      <c r="H9" s="1857" t="s">
        <v>28</v>
      </c>
      <c r="I9" s="1857" t="s">
        <v>969</v>
      </c>
    </row>
    <row customHeight="1" ht="11.25">
      <c r="A10" s="1857" t="s">
        <v>2399</v>
      </c>
      <c r="B10" s="1857" t="s">
        <v>16</v>
      </c>
      <c r="C10" s="1857" t="s">
        <v>2433</v>
      </c>
      <c r="D10" s="1857" t="s">
        <v>2434</v>
      </c>
      <c r="E10" s="1857" t="s">
        <v>2435</v>
      </c>
      <c r="F10" s="1857" t="s">
        <v>52</v>
      </c>
      <c r="G10" s="1857" t="s">
        <v>28</v>
      </c>
      <c r="H10" s="1857" t="s">
        <v>28</v>
      </c>
      <c r="I10" s="1857" t="s">
        <v>969</v>
      </c>
    </row>
    <row customHeight="1" ht="11.25">
      <c r="A11" s="1857" t="s">
        <v>2399</v>
      </c>
      <c r="B11" s="1857" t="s">
        <v>16</v>
      </c>
      <c r="C11" s="1857" t="s">
        <v>2436</v>
      </c>
      <c r="D11" s="1857" t="s">
        <v>2437</v>
      </c>
      <c r="E11" s="1857" t="s">
        <v>2438</v>
      </c>
      <c r="F11" s="1857" t="s">
        <v>2439</v>
      </c>
      <c r="G11" s="1857" t="s">
        <v>2440</v>
      </c>
      <c r="H11" s="1857" t="s">
        <v>28</v>
      </c>
      <c r="I11" s="1857" t="s">
        <v>969</v>
      </c>
    </row>
    <row customHeight="1" ht="11.25">
      <c r="A12" s="1857" t="s">
        <v>2399</v>
      </c>
      <c r="B12" s="1857" t="s">
        <v>16</v>
      </c>
      <c r="C12" s="1857" t="s">
        <v>2441</v>
      </c>
      <c r="D12" s="1857" t="s">
        <v>2442</v>
      </c>
      <c r="E12" s="1857" t="s">
        <v>2443</v>
      </c>
      <c r="F12" s="1857" t="s">
        <v>52</v>
      </c>
      <c r="G12" s="1857" t="s">
        <v>28</v>
      </c>
      <c r="H12" s="1857" t="s">
        <v>28</v>
      </c>
      <c r="I12" s="1857" t="s">
        <v>969</v>
      </c>
    </row>
    <row customHeight="1" ht="11.25">
      <c r="A13" s="1857" t="s">
        <v>2399</v>
      </c>
      <c r="B13" s="1857" t="s">
        <v>16</v>
      </c>
      <c r="C13" s="1857" t="s">
        <v>2444</v>
      </c>
      <c r="D13" s="1857" t="s">
        <v>2445</v>
      </c>
      <c r="E13" s="1857" t="s">
        <v>2446</v>
      </c>
      <c r="F13" s="1857" t="s">
        <v>2447</v>
      </c>
      <c r="G13" s="1857" t="s">
        <v>28</v>
      </c>
      <c r="H13" s="1857" t="s">
        <v>28</v>
      </c>
      <c r="I13" s="1857" t="s">
        <v>969</v>
      </c>
    </row>
    <row customHeight="1" ht="11.25">
      <c r="A14" s="1857" t="s">
        <v>2399</v>
      </c>
      <c r="B14" s="1857" t="s">
        <v>16</v>
      </c>
      <c r="C14" s="1857" t="s">
        <v>2448</v>
      </c>
      <c r="D14" s="1857" t="s">
        <v>2449</v>
      </c>
      <c r="E14" s="1857" t="s">
        <v>2450</v>
      </c>
      <c r="F14" s="1857" t="s">
        <v>2451</v>
      </c>
      <c r="G14" s="1857" t="s">
        <v>28</v>
      </c>
      <c r="H14" s="1857" t="s">
        <v>28</v>
      </c>
      <c r="I14" s="1857" t="s">
        <v>969</v>
      </c>
    </row>
    <row customHeight="1" ht="11.25">
      <c r="A15" s="1857" t="s">
        <v>2399</v>
      </c>
      <c r="B15" s="1857" t="s">
        <v>16</v>
      </c>
      <c r="C15" s="1857" t="s">
        <v>2452</v>
      </c>
      <c r="D15" s="1857" t="s">
        <v>2453</v>
      </c>
      <c r="E15" s="1857" t="s">
        <v>2454</v>
      </c>
      <c r="F15" s="1857" t="s">
        <v>2455</v>
      </c>
      <c r="G15" s="1857" t="s">
        <v>28</v>
      </c>
      <c r="H15" s="1857" t="s">
        <v>28</v>
      </c>
      <c r="I15" s="1857" t="s">
        <v>969</v>
      </c>
    </row>
    <row customHeight="1" ht="11.25">
      <c r="A16" s="1857" t="s">
        <v>2399</v>
      </c>
      <c r="B16" s="1857" t="s">
        <v>16</v>
      </c>
      <c r="C16" s="1857" t="s">
        <v>2456</v>
      </c>
      <c r="D16" s="1857" t="s">
        <v>2457</v>
      </c>
      <c r="E16" s="1857" t="s">
        <v>2458</v>
      </c>
      <c r="F16" s="1857" t="s">
        <v>2459</v>
      </c>
      <c r="G16" s="1857" t="s">
        <v>2460</v>
      </c>
      <c r="H16" s="1857" t="s">
        <v>28</v>
      </c>
      <c r="I16" s="1857" t="s">
        <v>969</v>
      </c>
    </row>
    <row customHeight="1" ht="11.25">
      <c r="A17" s="1857" t="s">
        <v>2399</v>
      </c>
      <c r="B17" s="1857" t="s">
        <v>16</v>
      </c>
      <c r="C17" s="1857" t="s">
        <v>2461</v>
      </c>
      <c r="D17" s="1857" t="s">
        <v>2462</v>
      </c>
      <c r="E17" s="1857" t="s">
        <v>2463</v>
      </c>
      <c r="F17" s="1857" t="s">
        <v>2464</v>
      </c>
      <c r="G17" s="1857" t="s">
        <v>28</v>
      </c>
      <c r="H17" s="1857" t="s">
        <v>28</v>
      </c>
      <c r="I17" s="1857" t="s">
        <v>969</v>
      </c>
    </row>
    <row customHeight="1" ht="11.25">
      <c r="A18" s="1857" t="s">
        <v>2399</v>
      </c>
      <c r="B18" s="1857" t="s">
        <v>16</v>
      </c>
      <c r="C18" s="1857" t="s">
        <v>2465</v>
      </c>
      <c r="D18" s="1857" t="s">
        <v>2466</v>
      </c>
      <c r="E18" s="1857" t="s">
        <v>2467</v>
      </c>
      <c r="F18" s="1857" t="s">
        <v>2468</v>
      </c>
      <c r="G18" s="1857" t="s">
        <v>28</v>
      </c>
      <c r="H18" s="1857" t="s">
        <v>28</v>
      </c>
      <c r="I18" s="1857" t="s">
        <v>969</v>
      </c>
    </row>
    <row customHeight="1" ht="11.25">
      <c r="A19" s="1857" t="s">
        <v>2399</v>
      </c>
      <c r="B19" s="1857" t="s">
        <v>16</v>
      </c>
      <c r="C19" s="1857" t="s">
        <v>2469</v>
      </c>
      <c r="D19" s="1857" t="s">
        <v>2470</v>
      </c>
      <c r="E19" s="1857" t="s">
        <v>2471</v>
      </c>
      <c r="F19" s="1857" t="s">
        <v>2468</v>
      </c>
      <c r="G19" s="1857" t="s">
        <v>28</v>
      </c>
      <c r="H19" s="1857" t="s">
        <v>28</v>
      </c>
      <c r="I19" s="1857" t="s">
        <v>969</v>
      </c>
    </row>
    <row customHeight="1" ht="11.25">
      <c r="A20" s="1857" t="s">
        <v>2399</v>
      </c>
      <c r="B20" s="1857" t="s">
        <v>16</v>
      </c>
      <c r="C20" s="1857" t="s">
        <v>2472</v>
      </c>
      <c r="D20" s="1857" t="s">
        <v>2473</v>
      </c>
      <c r="E20" s="1857" t="s">
        <v>2474</v>
      </c>
      <c r="F20" s="1857" t="s">
        <v>2432</v>
      </c>
      <c r="G20" s="1857" t="s">
        <v>28</v>
      </c>
      <c r="H20" s="1857" t="s">
        <v>28</v>
      </c>
      <c r="I20" s="1857" t="s">
        <v>969</v>
      </c>
    </row>
    <row customHeight="1" ht="11.25">
      <c r="A21" s="1857" t="s">
        <v>2399</v>
      </c>
      <c r="B21" s="1857" t="s">
        <v>16</v>
      </c>
      <c r="C21" s="1857" t="s">
        <v>2475</v>
      </c>
      <c r="D21" s="1857" t="s">
        <v>2476</v>
      </c>
      <c r="E21" s="1857" t="s">
        <v>2477</v>
      </c>
      <c r="F21" s="1857" t="s">
        <v>2409</v>
      </c>
      <c r="G21" s="1857" t="s">
        <v>28</v>
      </c>
      <c r="H21" s="1857" t="s">
        <v>28</v>
      </c>
      <c r="I21" s="1857" t="s">
        <v>969</v>
      </c>
    </row>
    <row customHeight="1" ht="11.25">
      <c r="A22" s="1857" t="s">
        <v>2399</v>
      </c>
      <c r="B22" s="1857" t="s">
        <v>16</v>
      </c>
      <c r="C22" s="1857" t="s">
        <v>2478</v>
      </c>
      <c r="D22" s="1857" t="s">
        <v>2479</v>
      </c>
      <c r="E22" s="1857" t="s">
        <v>2480</v>
      </c>
      <c r="F22" s="1857" t="s">
        <v>2481</v>
      </c>
      <c r="G22" s="1857" t="s">
        <v>28</v>
      </c>
      <c r="H22" s="1857" t="s">
        <v>28</v>
      </c>
      <c r="I22" s="1857" t="s">
        <v>969</v>
      </c>
    </row>
    <row customHeight="1" ht="11.25">
      <c r="A23" s="1857" t="s">
        <v>2399</v>
      </c>
      <c r="B23" s="1857" t="s">
        <v>16</v>
      </c>
      <c r="C23" s="1857" t="s">
        <v>2482</v>
      </c>
      <c r="D23" s="1857" t="s">
        <v>2483</v>
      </c>
      <c r="E23" s="1857" t="s">
        <v>2484</v>
      </c>
      <c r="F23" s="1857" t="s">
        <v>2485</v>
      </c>
      <c r="G23" s="1857" t="s">
        <v>28</v>
      </c>
      <c r="H23" s="1857" t="s">
        <v>28</v>
      </c>
      <c r="I23" s="1857" t="s">
        <v>969</v>
      </c>
    </row>
    <row customHeight="1" ht="11.25">
      <c r="A24" s="1857" t="s">
        <v>2399</v>
      </c>
      <c r="B24" s="1857" t="s">
        <v>16</v>
      </c>
      <c r="C24" s="1857" t="s">
        <v>2486</v>
      </c>
      <c r="D24" s="1857" t="s">
        <v>2487</v>
      </c>
      <c r="E24" s="1857" t="s">
        <v>2488</v>
      </c>
      <c r="F24" s="1857" t="s">
        <v>2468</v>
      </c>
      <c r="G24" s="1857" t="s">
        <v>28</v>
      </c>
      <c r="H24" s="1857" t="s">
        <v>28</v>
      </c>
      <c r="I24" s="1857" t="s">
        <v>969</v>
      </c>
    </row>
    <row customHeight="1" ht="11.25">
      <c r="A25" s="1857" t="s">
        <v>2399</v>
      </c>
      <c r="B25" s="1857" t="s">
        <v>16</v>
      </c>
      <c r="C25" s="1857" t="s">
        <v>2489</v>
      </c>
      <c r="D25" s="1857" t="s">
        <v>2490</v>
      </c>
      <c r="E25" s="1857" t="s">
        <v>2491</v>
      </c>
      <c r="F25" s="1857" t="s">
        <v>2492</v>
      </c>
      <c r="G25" s="1857" t="s">
        <v>28</v>
      </c>
      <c r="H25" s="1857" t="s">
        <v>28</v>
      </c>
      <c r="I25" s="1857" t="s">
        <v>969</v>
      </c>
    </row>
    <row customHeight="1" ht="11.25">
      <c r="A26" s="1857" t="s">
        <v>2399</v>
      </c>
      <c r="B26" s="1857" t="s">
        <v>16</v>
      </c>
      <c r="C26" s="1857" t="s">
        <v>2493</v>
      </c>
      <c r="D26" s="1857" t="s">
        <v>2494</v>
      </c>
      <c r="E26" s="1857" t="s">
        <v>2495</v>
      </c>
      <c r="F26" s="1857" t="s">
        <v>2496</v>
      </c>
      <c r="G26" s="1857" t="s">
        <v>28</v>
      </c>
      <c r="H26" s="1857" t="s">
        <v>28</v>
      </c>
      <c r="I26" s="1857" t="s">
        <v>969</v>
      </c>
    </row>
    <row customHeight="1" ht="11.25">
      <c r="A27" s="1857" t="s">
        <v>2399</v>
      </c>
      <c r="B27" s="1857" t="s">
        <v>16</v>
      </c>
      <c r="C27" s="1857" t="s">
        <v>2497</v>
      </c>
      <c r="D27" s="1857" t="s">
        <v>2498</v>
      </c>
      <c r="E27" s="1857" t="s">
        <v>2499</v>
      </c>
      <c r="F27" s="1857" t="s">
        <v>2500</v>
      </c>
      <c r="G27" s="1857" t="s">
        <v>28</v>
      </c>
      <c r="H27" s="1857" t="s">
        <v>28</v>
      </c>
      <c r="I27" s="1857" t="s">
        <v>969</v>
      </c>
    </row>
    <row customHeight="1" ht="11.25">
      <c r="A28" s="1857" t="s">
        <v>2399</v>
      </c>
      <c r="B28" s="1857" t="s">
        <v>16</v>
      </c>
      <c r="C28" s="1857" t="s">
        <v>2501</v>
      </c>
      <c r="D28" s="1857" t="s">
        <v>2502</v>
      </c>
      <c r="E28" s="1857" t="s">
        <v>2503</v>
      </c>
      <c r="F28" s="1857" t="s">
        <v>2409</v>
      </c>
      <c r="G28" s="1857" t="s">
        <v>2504</v>
      </c>
      <c r="H28" s="1857" t="s">
        <v>28</v>
      </c>
      <c r="I28" s="1857" t="s">
        <v>969</v>
      </c>
    </row>
    <row customHeight="1" ht="11.25">
      <c r="A29" s="1857" t="s">
        <v>2399</v>
      </c>
      <c r="B29" s="1857" t="s">
        <v>16</v>
      </c>
      <c r="C29" s="1857" t="s">
        <v>2505</v>
      </c>
      <c r="D29" s="1857" t="s">
        <v>2506</v>
      </c>
      <c r="E29" s="1857" t="s">
        <v>2507</v>
      </c>
      <c r="F29" s="1857" t="s">
        <v>2468</v>
      </c>
      <c r="G29" s="1857" t="s">
        <v>28</v>
      </c>
      <c r="H29" s="1857" t="s">
        <v>28</v>
      </c>
      <c r="I29" s="1857" t="s">
        <v>969</v>
      </c>
    </row>
    <row customHeight="1" ht="11.25">
      <c r="A30" s="1857" t="s">
        <v>2399</v>
      </c>
      <c r="B30" s="1857" t="s">
        <v>16</v>
      </c>
      <c r="C30" s="1857" t="s">
        <v>2508</v>
      </c>
      <c r="D30" s="1857" t="s">
        <v>2509</v>
      </c>
      <c r="E30" s="1857" t="s">
        <v>2510</v>
      </c>
      <c r="F30" s="1857" t="s">
        <v>52</v>
      </c>
      <c r="G30" s="1857" t="s">
        <v>28</v>
      </c>
      <c r="H30" s="1857" t="s">
        <v>28</v>
      </c>
      <c r="I30" s="1857" t="s">
        <v>969</v>
      </c>
    </row>
    <row customHeight="1" ht="11.25">
      <c r="A31" s="1857" t="s">
        <v>2399</v>
      </c>
      <c r="B31" s="1857" t="s">
        <v>16</v>
      </c>
      <c r="C31" s="1857" t="s">
        <v>2511</v>
      </c>
      <c r="D31" s="1857" t="s">
        <v>2512</v>
      </c>
      <c r="E31" s="1857" t="s">
        <v>2513</v>
      </c>
      <c r="F31" s="1857" t="s">
        <v>2514</v>
      </c>
      <c r="G31" s="1857" t="s">
        <v>28</v>
      </c>
      <c r="H31" s="1857" t="s">
        <v>28</v>
      </c>
      <c r="I31" s="1857" t="s">
        <v>969</v>
      </c>
    </row>
    <row customHeight="1" ht="11.25">
      <c r="A32" s="1857" t="s">
        <v>2399</v>
      </c>
      <c r="B32" s="1857" t="s">
        <v>16</v>
      </c>
      <c r="C32" s="1857" t="s">
        <v>2515</v>
      </c>
      <c r="D32" s="1857" t="s">
        <v>2516</v>
      </c>
      <c r="E32" s="1857" t="s">
        <v>2513</v>
      </c>
      <c r="F32" s="1857" t="s">
        <v>2517</v>
      </c>
      <c r="G32" s="1857" t="s">
        <v>2518</v>
      </c>
      <c r="H32" s="1857" t="s">
        <v>28</v>
      </c>
      <c r="I32" s="1857" t="s">
        <v>969</v>
      </c>
    </row>
    <row customHeight="1" ht="11.25">
      <c r="A33" s="1857" t="s">
        <v>2399</v>
      </c>
      <c r="B33" s="1857" t="s">
        <v>16</v>
      </c>
      <c r="C33" s="1857" t="s">
        <v>2519</v>
      </c>
      <c r="D33" s="1857" t="s">
        <v>2520</v>
      </c>
      <c r="E33" s="1857" t="s">
        <v>2521</v>
      </c>
      <c r="F33" s="1857" t="s">
        <v>2409</v>
      </c>
      <c r="G33" s="1857" t="s">
        <v>28</v>
      </c>
      <c r="H33" s="1857" t="s">
        <v>28</v>
      </c>
      <c r="I33" s="1857" t="s">
        <v>969</v>
      </c>
    </row>
    <row customHeight="1" ht="11.25">
      <c r="A34" s="1857" t="s">
        <v>2399</v>
      </c>
      <c r="B34" s="1857" t="s">
        <v>16</v>
      </c>
      <c r="C34" s="1857" t="s">
        <v>2522</v>
      </c>
      <c r="D34" s="1857" t="s">
        <v>2523</v>
      </c>
      <c r="E34" s="1857" t="s">
        <v>2524</v>
      </c>
      <c r="F34" s="1857" t="s">
        <v>2419</v>
      </c>
      <c r="G34" s="1857" t="s">
        <v>28</v>
      </c>
      <c r="H34" s="1857" t="s">
        <v>28</v>
      </c>
      <c r="I34" s="1857" t="s">
        <v>969</v>
      </c>
    </row>
    <row customHeight="1" ht="11.25">
      <c r="A35" s="1857" t="s">
        <v>2399</v>
      </c>
      <c r="B35" s="1857" t="s">
        <v>16</v>
      </c>
      <c r="C35" s="1857" t="s">
        <v>2525</v>
      </c>
      <c r="D35" s="1857" t="s">
        <v>2526</v>
      </c>
      <c r="E35" s="1857" t="s">
        <v>2527</v>
      </c>
      <c r="F35" s="1857" t="s">
        <v>2468</v>
      </c>
      <c r="G35" s="1857" t="s">
        <v>28</v>
      </c>
      <c r="H35" s="1857" t="s">
        <v>28</v>
      </c>
      <c r="I35" s="1857" t="s">
        <v>969</v>
      </c>
    </row>
    <row customHeight="1" ht="11.25">
      <c r="A36" s="1857" t="s">
        <v>2399</v>
      </c>
      <c r="B36" s="1857" t="s">
        <v>16</v>
      </c>
      <c r="C36" s="1857" t="s">
        <v>2528</v>
      </c>
      <c r="D36" s="1857" t="s">
        <v>2529</v>
      </c>
      <c r="E36" s="1857" t="s">
        <v>2530</v>
      </c>
      <c r="F36" s="1857" t="s">
        <v>2531</v>
      </c>
      <c r="G36" s="1857" t="s">
        <v>28</v>
      </c>
      <c r="H36" s="1857" t="s">
        <v>28</v>
      </c>
      <c r="I36" s="1857" t="s">
        <v>969</v>
      </c>
    </row>
    <row customHeight="1" ht="11.25">
      <c r="A37" s="1857" t="s">
        <v>2399</v>
      </c>
      <c r="B37" s="1857" t="s">
        <v>16</v>
      </c>
      <c r="C37" s="1857" t="s">
        <v>28</v>
      </c>
      <c r="D37" s="1857" t="s">
        <v>2532</v>
      </c>
      <c r="E37" s="1857" t="s">
        <v>2533</v>
      </c>
      <c r="F37" s="1857" t="s">
        <v>52</v>
      </c>
      <c r="G37" s="1857" t="s">
        <v>28</v>
      </c>
      <c r="H37" s="1857" t="s">
        <v>28</v>
      </c>
      <c r="I37" s="1857" t="s">
        <v>969</v>
      </c>
    </row>
    <row customHeight="1" ht="11.25">
      <c r="A38" s="1857" t="s">
        <v>2399</v>
      </c>
      <c r="B38" s="1857" t="s">
        <v>16</v>
      </c>
      <c r="C38" s="1857" t="s">
        <v>2534</v>
      </c>
      <c r="D38" s="1857" t="s">
        <v>2535</v>
      </c>
      <c r="E38" s="1857" t="s">
        <v>2536</v>
      </c>
      <c r="F38" s="1857" t="s">
        <v>2531</v>
      </c>
      <c r="G38" s="1857" t="s">
        <v>28</v>
      </c>
      <c r="H38" s="1857" t="s">
        <v>28</v>
      </c>
      <c r="I38" s="1857" t="s">
        <v>969</v>
      </c>
    </row>
    <row customHeight="1" ht="11.25">
      <c r="A39" s="1857" t="s">
        <v>2399</v>
      </c>
      <c r="B39" s="1857" t="s">
        <v>16</v>
      </c>
      <c r="C39" s="1857" t="s">
        <v>2537</v>
      </c>
      <c r="D39" s="1857" t="s">
        <v>2538</v>
      </c>
      <c r="E39" s="1857" t="s">
        <v>2539</v>
      </c>
      <c r="F39" s="1857" t="s">
        <v>2540</v>
      </c>
      <c r="G39" s="1857" t="s">
        <v>28</v>
      </c>
      <c r="H39" s="1857" t="s">
        <v>28</v>
      </c>
      <c r="I39" s="1857" t="s">
        <v>969</v>
      </c>
    </row>
    <row customHeight="1" ht="11.25">
      <c r="A40" s="1857" t="s">
        <v>2399</v>
      </c>
      <c r="B40" s="1857" t="s">
        <v>16</v>
      </c>
      <c r="C40" s="1857" t="s">
        <v>2541</v>
      </c>
      <c r="D40" s="1857" t="s">
        <v>2542</v>
      </c>
      <c r="E40" s="1857" t="s">
        <v>2543</v>
      </c>
      <c r="F40" s="1857" t="s">
        <v>52</v>
      </c>
      <c r="G40" s="1857" t="s">
        <v>28</v>
      </c>
      <c r="H40" s="1857" t="s">
        <v>2544</v>
      </c>
      <c r="I40" s="1857" t="s">
        <v>969</v>
      </c>
    </row>
    <row customHeight="1" ht="11.25">
      <c r="A41" s="1857" t="s">
        <v>2399</v>
      </c>
      <c r="B41" s="1857" t="s">
        <v>16</v>
      </c>
      <c r="C41" s="1857" t="s">
        <v>2545</v>
      </c>
      <c r="D41" s="1857" t="s">
        <v>2546</v>
      </c>
      <c r="E41" s="1857" t="s">
        <v>2547</v>
      </c>
      <c r="F41" s="1857" t="s">
        <v>2468</v>
      </c>
      <c r="G41" s="1857" t="s">
        <v>28</v>
      </c>
      <c r="H41" s="1857" t="s">
        <v>28</v>
      </c>
      <c r="I41" s="1857" t="s">
        <v>969</v>
      </c>
    </row>
    <row customHeight="1" ht="11.25">
      <c r="A42" s="1857" t="s">
        <v>2399</v>
      </c>
      <c r="B42" s="1857" t="s">
        <v>16</v>
      </c>
      <c r="C42" s="1857" t="s">
        <v>2548</v>
      </c>
      <c r="D42" s="1857" t="s">
        <v>2549</v>
      </c>
      <c r="E42" s="1857" t="s">
        <v>2550</v>
      </c>
      <c r="F42" s="1857" t="s">
        <v>2468</v>
      </c>
      <c r="G42" s="1857" t="s">
        <v>28</v>
      </c>
      <c r="H42" s="1857" t="s">
        <v>28</v>
      </c>
      <c r="I42" s="1857" t="s">
        <v>969</v>
      </c>
    </row>
    <row customHeight="1" ht="11.25">
      <c r="A43" s="1857" t="s">
        <v>2399</v>
      </c>
      <c r="B43" s="1857" t="s">
        <v>16</v>
      </c>
      <c r="C43" s="1857" t="s">
        <v>2551</v>
      </c>
      <c r="D43" s="1857" t="s">
        <v>2552</v>
      </c>
      <c r="E43" s="1857" t="s">
        <v>2553</v>
      </c>
      <c r="F43" s="1857" t="s">
        <v>52</v>
      </c>
      <c r="G43" s="1857" t="s">
        <v>2554</v>
      </c>
      <c r="H43" s="1857" t="s">
        <v>28</v>
      </c>
      <c r="I43" s="1857" t="s">
        <v>969</v>
      </c>
    </row>
    <row customHeight="1" ht="11.25">
      <c r="A44" s="1857" t="s">
        <v>2399</v>
      </c>
      <c r="B44" s="1857" t="s">
        <v>16</v>
      </c>
      <c r="C44" s="1857" t="s">
        <v>2555</v>
      </c>
      <c r="D44" s="1857" t="s">
        <v>2556</v>
      </c>
      <c r="E44" s="1857" t="s">
        <v>2557</v>
      </c>
      <c r="F44" s="1857" t="s">
        <v>52</v>
      </c>
      <c r="G44" s="1857" t="s">
        <v>28</v>
      </c>
      <c r="H44" s="1857" t="s">
        <v>28</v>
      </c>
      <c r="I44" s="1857" t="s">
        <v>969</v>
      </c>
    </row>
    <row customHeight="1" ht="11.25">
      <c r="A45" s="1857" t="s">
        <v>2399</v>
      </c>
      <c r="B45" s="1857" t="s">
        <v>16</v>
      </c>
      <c r="C45" s="1857" t="s">
        <v>2558</v>
      </c>
      <c r="D45" s="1857" t="s">
        <v>2559</v>
      </c>
      <c r="E45" s="1857" t="s">
        <v>2560</v>
      </c>
      <c r="F45" s="1857" t="s">
        <v>52</v>
      </c>
      <c r="G45" s="1857" t="s">
        <v>28</v>
      </c>
      <c r="H45" s="1857" t="s">
        <v>28</v>
      </c>
      <c r="I45" s="1857" t="s">
        <v>969</v>
      </c>
    </row>
    <row customHeight="1" ht="11.25">
      <c r="A46" s="1857" t="s">
        <v>2399</v>
      </c>
      <c r="B46" s="1857" t="s">
        <v>16</v>
      </c>
      <c r="C46" s="1857" t="s">
        <v>2561</v>
      </c>
      <c r="D46" s="1857" t="s">
        <v>2562</v>
      </c>
      <c r="E46" s="1857" t="s">
        <v>2563</v>
      </c>
      <c r="F46" s="1857" t="s">
        <v>52</v>
      </c>
      <c r="G46" s="1857" t="s">
        <v>28</v>
      </c>
      <c r="H46" s="1857" t="s">
        <v>28</v>
      </c>
      <c r="I46" s="1857" t="s">
        <v>969</v>
      </c>
    </row>
    <row customHeight="1" ht="11.25">
      <c r="A47" s="1857" t="s">
        <v>2399</v>
      </c>
      <c r="B47" s="1857" t="s">
        <v>16</v>
      </c>
      <c r="C47" s="1857" t="s">
        <v>2564</v>
      </c>
      <c r="D47" s="1857" t="s">
        <v>2565</v>
      </c>
      <c r="E47" s="1857" t="s">
        <v>2566</v>
      </c>
      <c r="F47" s="1857" t="s">
        <v>2567</v>
      </c>
      <c r="G47" s="1857" t="s">
        <v>28</v>
      </c>
      <c r="H47" s="1857" t="s">
        <v>28</v>
      </c>
      <c r="I47" s="1857" t="s">
        <v>969</v>
      </c>
    </row>
    <row customHeight="1" ht="11.25">
      <c r="A48" s="1857" t="s">
        <v>2399</v>
      </c>
      <c r="B48" s="1857" t="s">
        <v>16</v>
      </c>
      <c r="C48" s="1857" t="s">
        <v>2568</v>
      </c>
      <c r="D48" s="1857" t="s">
        <v>2569</v>
      </c>
      <c r="E48" s="1857" t="s">
        <v>2570</v>
      </c>
      <c r="F48" s="1857" t="s">
        <v>2571</v>
      </c>
      <c r="G48" s="1857" t="s">
        <v>2572</v>
      </c>
      <c r="H48" s="1857" t="s">
        <v>28</v>
      </c>
      <c r="I48" s="1857" t="s">
        <v>969</v>
      </c>
    </row>
    <row customHeight="1" ht="11.25">
      <c r="A49" s="1857" t="s">
        <v>2399</v>
      </c>
      <c r="B49" s="1857" t="s">
        <v>16</v>
      </c>
      <c r="C49" s="1857" t="s">
        <v>2573</v>
      </c>
      <c r="D49" s="1857" t="s">
        <v>2574</v>
      </c>
      <c r="E49" s="1857" t="s">
        <v>2575</v>
      </c>
      <c r="F49" s="1857" t="s">
        <v>2576</v>
      </c>
      <c r="G49" s="1857" t="s">
        <v>28</v>
      </c>
      <c r="H49" s="1857" t="s">
        <v>28</v>
      </c>
      <c r="I49" s="1857" t="s">
        <v>969</v>
      </c>
    </row>
    <row customHeight="1" ht="11.25">
      <c r="A50" s="1857" t="s">
        <v>2399</v>
      </c>
      <c r="B50" s="1857" t="s">
        <v>16</v>
      </c>
      <c r="C50" s="1857" t="s">
        <v>2577</v>
      </c>
      <c r="D50" s="1857" t="s">
        <v>2578</v>
      </c>
      <c r="E50" s="1857" t="s">
        <v>2579</v>
      </c>
      <c r="F50" s="1857" t="s">
        <v>2580</v>
      </c>
      <c r="G50" s="1857" t="s">
        <v>28</v>
      </c>
      <c r="H50" s="1857" t="s">
        <v>28</v>
      </c>
      <c r="I50" s="1857" t="s">
        <v>969</v>
      </c>
    </row>
    <row customHeight="1" ht="11.25">
      <c r="A51" s="1857" t="s">
        <v>2399</v>
      </c>
      <c r="B51" s="1857" t="s">
        <v>16</v>
      </c>
      <c r="C51" s="1857" t="s">
        <v>2581</v>
      </c>
      <c r="D51" s="1857" t="s">
        <v>2582</v>
      </c>
      <c r="E51" s="1857" t="s">
        <v>2583</v>
      </c>
      <c r="F51" s="1857" t="s">
        <v>2419</v>
      </c>
      <c r="G51" s="1857" t="s">
        <v>28</v>
      </c>
      <c r="H51" s="1857" t="s">
        <v>28</v>
      </c>
      <c r="I51" s="1857" t="s">
        <v>969</v>
      </c>
    </row>
    <row customHeight="1" ht="11.25">
      <c r="A52" s="1857" t="s">
        <v>2399</v>
      </c>
      <c r="B52" s="1857" t="s">
        <v>16</v>
      </c>
      <c r="C52" s="1857" t="s">
        <v>2584</v>
      </c>
      <c r="D52" s="1857" t="s">
        <v>2585</v>
      </c>
      <c r="E52" s="1857" t="s">
        <v>2586</v>
      </c>
      <c r="F52" s="1857" t="s">
        <v>2419</v>
      </c>
      <c r="G52" s="1857" t="s">
        <v>28</v>
      </c>
      <c r="H52" s="1857" t="s">
        <v>28</v>
      </c>
      <c r="I52" s="1857" t="s">
        <v>969</v>
      </c>
    </row>
    <row customHeight="1" ht="11.25">
      <c r="A53" s="1857" t="s">
        <v>2399</v>
      </c>
      <c r="B53" s="1857" t="s">
        <v>16</v>
      </c>
      <c r="C53" s="1857" t="s">
        <v>2587</v>
      </c>
      <c r="D53" s="1857" t="s">
        <v>2588</v>
      </c>
      <c r="E53" s="1857" t="s">
        <v>2589</v>
      </c>
      <c r="F53" s="1857" t="s">
        <v>52</v>
      </c>
      <c r="G53" s="1857" t="s">
        <v>28</v>
      </c>
      <c r="H53" s="1857" t="s">
        <v>28</v>
      </c>
      <c r="I53" s="1857" t="s">
        <v>969</v>
      </c>
    </row>
    <row customHeight="1" ht="11.25">
      <c r="A54" s="1857" t="s">
        <v>2399</v>
      </c>
      <c r="B54" s="1857" t="s">
        <v>16</v>
      </c>
      <c r="C54" s="1857" t="s">
        <v>2590</v>
      </c>
      <c r="D54" s="1857" t="s">
        <v>2591</v>
      </c>
      <c r="E54" s="1857" t="s">
        <v>2592</v>
      </c>
      <c r="F54" s="1857" t="s">
        <v>2468</v>
      </c>
      <c r="G54" s="1857" t="s">
        <v>2593</v>
      </c>
      <c r="H54" s="1857" t="s">
        <v>28</v>
      </c>
      <c r="I54" s="1857" t="s">
        <v>969</v>
      </c>
    </row>
    <row customHeight="1" ht="11.25">
      <c r="A55" s="1857" t="s">
        <v>2399</v>
      </c>
      <c r="B55" s="1857" t="s">
        <v>16</v>
      </c>
      <c r="C55" s="1857" t="s">
        <v>2594</v>
      </c>
      <c r="D55" s="1857" t="s">
        <v>2595</v>
      </c>
      <c r="E55" s="1857" t="s">
        <v>2596</v>
      </c>
      <c r="F55" s="1857" t="s">
        <v>2576</v>
      </c>
      <c r="G55" s="1857" t="s">
        <v>28</v>
      </c>
      <c r="H55" s="1857" t="s">
        <v>28</v>
      </c>
      <c r="I55" s="1857" t="s">
        <v>969</v>
      </c>
    </row>
    <row customHeight="1" ht="11.25">
      <c r="A56" s="1857" t="s">
        <v>2399</v>
      </c>
      <c r="B56" s="1857" t="s">
        <v>16</v>
      </c>
      <c r="C56" s="1857" t="s">
        <v>2597</v>
      </c>
      <c r="D56" s="1857" t="s">
        <v>2598</v>
      </c>
      <c r="E56" s="1857" t="s">
        <v>2599</v>
      </c>
      <c r="F56" s="1857" t="s">
        <v>2600</v>
      </c>
      <c r="G56" s="1857" t="s">
        <v>28</v>
      </c>
      <c r="H56" s="1857" t="s">
        <v>28</v>
      </c>
      <c r="I56" s="1857" t="s">
        <v>969</v>
      </c>
    </row>
    <row customHeight="1" ht="11.25">
      <c r="A57" s="1857" t="s">
        <v>2399</v>
      </c>
      <c r="B57" s="1857" t="s">
        <v>16</v>
      </c>
      <c r="C57" s="1857" t="s">
        <v>2601</v>
      </c>
      <c r="D57" s="1857" t="s">
        <v>2602</v>
      </c>
      <c r="E57" s="1857" t="s">
        <v>2603</v>
      </c>
      <c r="F57" s="1857" t="s">
        <v>52</v>
      </c>
      <c r="G57" s="1857" t="s">
        <v>28</v>
      </c>
      <c r="H57" s="1857" t="s">
        <v>28</v>
      </c>
      <c r="I57" s="1857" t="s">
        <v>969</v>
      </c>
    </row>
    <row customHeight="1" ht="11.25">
      <c r="A58" s="1857" t="s">
        <v>2399</v>
      </c>
      <c r="B58" s="1857" t="s">
        <v>16</v>
      </c>
      <c r="C58" s="1857" t="s">
        <v>2604</v>
      </c>
      <c r="D58" s="1857" t="s">
        <v>2605</v>
      </c>
      <c r="E58" s="1857" t="s">
        <v>2606</v>
      </c>
      <c r="F58" s="1857" t="s">
        <v>52</v>
      </c>
      <c r="G58" s="1857" t="s">
        <v>28</v>
      </c>
      <c r="H58" s="1857" t="s">
        <v>28</v>
      </c>
      <c r="I58" s="1857" t="s">
        <v>969</v>
      </c>
    </row>
    <row customHeight="1" ht="11.25">
      <c r="A59" s="1857" t="s">
        <v>2399</v>
      </c>
      <c r="B59" s="1857" t="s">
        <v>16</v>
      </c>
      <c r="C59" s="1857" t="s">
        <v>2607</v>
      </c>
      <c r="D59" s="1857" t="s">
        <v>2608</v>
      </c>
      <c r="E59" s="1857" t="s">
        <v>2609</v>
      </c>
      <c r="F59" s="1857" t="s">
        <v>52</v>
      </c>
      <c r="G59" s="1857" t="s">
        <v>28</v>
      </c>
      <c r="H59" s="1857" t="s">
        <v>28</v>
      </c>
      <c r="I59" s="1857" t="s">
        <v>969</v>
      </c>
    </row>
    <row customHeight="1" ht="11.25">
      <c r="A60" s="1857" t="s">
        <v>2399</v>
      </c>
      <c r="B60" s="1857" t="s">
        <v>16</v>
      </c>
      <c r="C60" s="1857" t="s">
        <v>2610</v>
      </c>
      <c r="D60" s="1857" t="s">
        <v>2611</v>
      </c>
      <c r="E60" s="1857" t="s">
        <v>2612</v>
      </c>
      <c r="F60" s="1857" t="s">
        <v>2468</v>
      </c>
      <c r="G60" s="1857" t="s">
        <v>28</v>
      </c>
      <c r="H60" s="1857" t="s">
        <v>28</v>
      </c>
      <c r="I60" s="1857" t="s">
        <v>969</v>
      </c>
    </row>
    <row customHeight="1" ht="11.25">
      <c r="A61" s="1857" t="s">
        <v>2399</v>
      </c>
      <c r="B61" s="1857" t="s">
        <v>16</v>
      </c>
      <c r="C61" s="1857" t="s">
        <v>2613</v>
      </c>
      <c r="D61" s="1857" t="s">
        <v>2614</v>
      </c>
      <c r="E61" s="1857" t="s">
        <v>2615</v>
      </c>
      <c r="F61" s="1857" t="s">
        <v>52</v>
      </c>
      <c r="G61" s="1857" t="s">
        <v>28</v>
      </c>
      <c r="H61" s="1857" t="s">
        <v>28</v>
      </c>
      <c r="I61" s="1857" t="s">
        <v>969</v>
      </c>
    </row>
    <row customHeight="1" ht="11.25">
      <c r="A62" s="1857" t="s">
        <v>2399</v>
      </c>
      <c r="B62" s="1857" t="s">
        <v>16</v>
      </c>
      <c r="C62" s="1857" t="s">
        <v>2616</v>
      </c>
      <c r="D62" s="1857" t="s">
        <v>2617</v>
      </c>
      <c r="E62" s="1857" t="s">
        <v>2618</v>
      </c>
      <c r="F62" s="1857" t="s">
        <v>52</v>
      </c>
      <c r="G62" s="1857" t="s">
        <v>28</v>
      </c>
      <c r="H62" s="1857" t="s">
        <v>28</v>
      </c>
      <c r="I62" s="1857" t="s">
        <v>969</v>
      </c>
    </row>
    <row customHeight="1" ht="11.25">
      <c r="A63" s="1857" t="s">
        <v>2399</v>
      </c>
      <c r="B63" s="1857" t="s">
        <v>16</v>
      </c>
      <c r="C63" s="1857" t="s">
        <v>2619</v>
      </c>
      <c r="D63" s="1857" t="s">
        <v>2620</v>
      </c>
      <c r="E63" s="1857" t="s">
        <v>2621</v>
      </c>
      <c r="F63" s="1857" t="s">
        <v>2622</v>
      </c>
      <c r="G63" s="1857" t="s">
        <v>28</v>
      </c>
      <c r="H63" s="1857" t="s">
        <v>28</v>
      </c>
      <c r="I63" s="1857" t="s">
        <v>969</v>
      </c>
    </row>
    <row customHeight="1" ht="11.25">
      <c r="A64" s="1857" t="s">
        <v>2399</v>
      </c>
      <c r="B64" s="1857" t="s">
        <v>16</v>
      </c>
      <c r="C64" s="1857" t="s">
        <v>2623</v>
      </c>
      <c r="D64" s="1857" t="s">
        <v>2624</v>
      </c>
      <c r="E64" s="1857" t="s">
        <v>2625</v>
      </c>
      <c r="F64" s="1857" t="s">
        <v>52</v>
      </c>
      <c r="G64" s="1857" t="s">
        <v>28</v>
      </c>
      <c r="H64" s="1857" t="s">
        <v>28</v>
      </c>
      <c r="I64" s="1857" t="s">
        <v>969</v>
      </c>
    </row>
    <row customHeight="1" ht="11.25">
      <c r="A65" s="1857" t="s">
        <v>2399</v>
      </c>
      <c r="B65" s="1857" t="s">
        <v>16</v>
      </c>
      <c r="C65" s="1857" t="s">
        <v>2626</v>
      </c>
      <c r="D65" s="1857" t="s">
        <v>2627</v>
      </c>
      <c r="E65" s="1857" t="s">
        <v>2628</v>
      </c>
      <c r="F65" s="1857" t="s">
        <v>2622</v>
      </c>
      <c r="G65" s="1857" t="s">
        <v>28</v>
      </c>
      <c r="H65" s="1857" t="s">
        <v>28</v>
      </c>
      <c r="I65" s="1857" t="s">
        <v>969</v>
      </c>
    </row>
    <row customHeight="1" ht="11.25">
      <c r="A66" s="1857" t="s">
        <v>2399</v>
      </c>
      <c r="B66" s="1857" t="s">
        <v>16</v>
      </c>
      <c r="C66" s="1857" t="s">
        <v>2629</v>
      </c>
      <c r="D66" s="1857" t="s">
        <v>2630</v>
      </c>
      <c r="E66" s="1857" t="s">
        <v>2631</v>
      </c>
      <c r="F66" s="1857" t="s">
        <v>52</v>
      </c>
      <c r="G66" s="1857" t="s">
        <v>28</v>
      </c>
      <c r="H66" s="1857" t="s">
        <v>28</v>
      </c>
      <c r="I66" s="1857" t="s">
        <v>969</v>
      </c>
    </row>
    <row customHeight="1" ht="11.25">
      <c r="A67" s="1857" t="s">
        <v>2399</v>
      </c>
      <c r="B67" s="1857" t="s">
        <v>16</v>
      </c>
      <c r="C67" s="1857" t="s">
        <v>2632</v>
      </c>
      <c r="D67" s="1857" t="s">
        <v>2633</v>
      </c>
      <c r="E67" s="1857" t="s">
        <v>2634</v>
      </c>
      <c r="F67" s="1857" t="s">
        <v>52</v>
      </c>
      <c r="G67" s="1857" t="s">
        <v>28</v>
      </c>
      <c r="H67" s="1857" t="s">
        <v>28</v>
      </c>
      <c r="I67" s="1857" t="s">
        <v>969</v>
      </c>
    </row>
    <row customHeight="1" ht="11.25">
      <c r="A68" s="1857" t="s">
        <v>2399</v>
      </c>
      <c r="B68" s="1857" t="s">
        <v>16</v>
      </c>
      <c r="C68" s="1857" t="s">
        <v>2635</v>
      </c>
      <c r="D68" s="1857" t="s">
        <v>2636</v>
      </c>
      <c r="E68" s="1857" t="s">
        <v>2431</v>
      </c>
      <c r="F68" s="1857" t="s">
        <v>2637</v>
      </c>
      <c r="G68" s="1857" t="s">
        <v>2638</v>
      </c>
      <c r="H68" s="1857" t="s">
        <v>28</v>
      </c>
      <c r="I68" s="1857" t="s">
        <v>969</v>
      </c>
    </row>
    <row customHeight="1" ht="11.25">
      <c r="A69" s="1857" t="s">
        <v>2399</v>
      </c>
      <c r="B69" s="1857" t="s">
        <v>16</v>
      </c>
      <c r="C69" s="1857" t="s">
        <v>2639</v>
      </c>
      <c r="D69" s="1857" t="s">
        <v>2640</v>
      </c>
      <c r="E69" s="1857" t="s">
        <v>2641</v>
      </c>
      <c r="F69" s="1857" t="s">
        <v>52</v>
      </c>
      <c r="G69" s="1857" t="s">
        <v>28</v>
      </c>
      <c r="H69" s="1857" t="s">
        <v>28</v>
      </c>
      <c r="I69" s="1857" t="s">
        <v>969</v>
      </c>
    </row>
    <row customHeight="1" ht="11.25">
      <c r="A70" s="1857" t="s">
        <v>2399</v>
      </c>
      <c r="B70" s="1857" t="s">
        <v>16</v>
      </c>
      <c r="C70" s="1857" t="s">
        <v>28</v>
      </c>
      <c r="D70" s="1857" t="s">
        <v>2642</v>
      </c>
      <c r="E70" s="1857" t="s">
        <v>2643</v>
      </c>
      <c r="F70" s="1857" t="s">
        <v>52</v>
      </c>
      <c r="G70" s="1857" t="s">
        <v>28</v>
      </c>
      <c r="H70" s="1857" t="s">
        <v>28</v>
      </c>
      <c r="I70" s="1857" t="s">
        <v>969</v>
      </c>
    </row>
    <row customHeight="1" ht="11.25">
      <c r="A71" s="1857" t="s">
        <v>2399</v>
      </c>
      <c r="B71" s="1857" t="s">
        <v>16</v>
      </c>
      <c r="C71" s="1857" t="s">
        <v>2644</v>
      </c>
      <c r="D71" s="1857" t="s">
        <v>2645</v>
      </c>
      <c r="E71" s="1857" t="s">
        <v>2646</v>
      </c>
      <c r="F71" s="1857" t="s">
        <v>52</v>
      </c>
      <c r="G71" s="1857" t="s">
        <v>28</v>
      </c>
      <c r="H71" s="1857" t="s">
        <v>28</v>
      </c>
      <c r="I71" s="1857" t="s">
        <v>969</v>
      </c>
    </row>
    <row customHeight="1" ht="11.25">
      <c r="A72" s="1857" t="s">
        <v>2399</v>
      </c>
      <c r="B72" s="1857" t="s">
        <v>16</v>
      </c>
      <c r="C72" s="1857" t="s">
        <v>2647</v>
      </c>
      <c r="D72" s="1857" t="s">
        <v>2648</v>
      </c>
      <c r="E72" s="1857" t="s">
        <v>2649</v>
      </c>
      <c r="F72" s="1857" t="s">
        <v>2650</v>
      </c>
      <c r="G72" s="1857" t="s">
        <v>28</v>
      </c>
      <c r="H72" s="1857" t="s">
        <v>28</v>
      </c>
      <c r="I72" s="1857" t="s">
        <v>969</v>
      </c>
    </row>
    <row customHeight="1" ht="11.25">
      <c r="A73" s="1857" t="s">
        <v>2399</v>
      </c>
      <c r="B73" s="1857" t="s">
        <v>16</v>
      </c>
      <c r="C73" s="1857" t="s">
        <v>2651</v>
      </c>
      <c r="D73" s="1857" t="s">
        <v>2652</v>
      </c>
      <c r="E73" s="1857" t="s">
        <v>2474</v>
      </c>
      <c r="F73" s="1857" t="s">
        <v>2653</v>
      </c>
      <c r="G73" s="1857" t="s">
        <v>28</v>
      </c>
      <c r="H73" s="1857" t="s">
        <v>28</v>
      </c>
      <c r="I73" s="1857" t="s">
        <v>969</v>
      </c>
    </row>
    <row customHeight="1" ht="11.25">
      <c r="A74" s="1857" t="s">
        <v>2399</v>
      </c>
      <c r="B74" s="1857" t="s">
        <v>16</v>
      </c>
      <c r="C74" s="1857" t="s">
        <v>2654</v>
      </c>
      <c r="D74" s="1857" t="s">
        <v>2655</v>
      </c>
      <c r="E74" s="1857" t="s">
        <v>2656</v>
      </c>
      <c r="F74" s="1857" t="s">
        <v>2657</v>
      </c>
      <c r="G74" s="1857" t="s">
        <v>28</v>
      </c>
      <c r="H74" s="1857" t="s">
        <v>28</v>
      </c>
      <c r="I74" s="1857" t="s">
        <v>969</v>
      </c>
    </row>
    <row customHeight="1" ht="11.25">
      <c r="A75" s="1857" t="s">
        <v>2399</v>
      </c>
      <c r="B75" s="1857" t="s">
        <v>16</v>
      </c>
      <c r="C75" s="1857" t="s">
        <v>2400</v>
      </c>
      <c r="D75" s="1857" t="s">
        <v>2401</v>
      </c>
      <c r="E75" s="1857" t="s">
        <v>2402</v>
      </c>
      <c r="F75" s="1857" t="s">
        <v>2403</v>
      </c>
      <c r="G75" s="1857" t="s">
        <v>2404</v>
      </c>
      <c r="H75" s="1857" t="s">
        <v>2405</v>
      </c>
      <c r="I75" s="1857" t="s">
        <v>1055</v>
      </c>
    </row>
    <row customHeight="1" ht="11.25">
      <c r="A76" s="1857" t="s">
        <v>2399</v>
      </c>
      <c r="B76" s="1857" t="s">
        <v>16</v>
      </c>
      <c r="C76" s="1857" t="s">
        <v>2406</v>
      </c>
      <c r="D76" s="1857" t="s">
        <v>2407</v>
      </c>
      <c r="E76" s="1857" t="s">
        <v>2408</v>
      </c>
      <c r="F76" s="1857" t="s">
        <v>2409</v>
      </c>
      <c r="G76" s="1857" t="s">
        <v>28</v>
      </c>
      <c r="H76" s="1857" t="s">
        <v>28</v>
      </c>
      <c r="I76" s="1857" t="s">
        <v>1055</v>
      </c>
    </row>
    <row customHeight="1" ht="11.25">
      <c r="A77" s="1857" t="s">
        <v>2399</v>
      </c>
      <c r="B77" s="1857" t="s">
        <v>16</v>
      </c>
      <c r="C77" s="1857" t="s">
        <v>2410</v>
      </c>
      <c r="D77" s="1857" t="s">
        <v>2411</v>
      </c>
      <c r="E77" s="1857" t="s">
        <v>2412</v>
      </c>
      <c r="F77" s="1857" t="s">
        <v>2409</v>
      </c>
      <c r="G77" s="1857" t="s">
        <v>28</v>
      </c>
      <c r="H77" s="1857" t="s">
        <v>28</v>
      </c>
      <c r="I77" s="1857" t="s">
        <v>1055</v>
      </c>
    </row>
    <row customHeight="1" ht="11.25">
      <c r="A78" s="1857" t="s">
        <v>2399</v>
      </c>
      <c r="B78" s="1857" t="s">
        <v>16</v>
      </c>
      <c r="C78" s="1857" t="s">
        <v>2416</v>
      </c>
      <c r="D78" s="1857" t="s">
        <v>2417</v>
      </c>
      <c r="E78" s="1857" t="s">
        <v>2418</v>
      </c>
      <c r="F78" s="1857" t="s">
        <v>2419</v>
      </c>
      <c r="G78" s="1857" t="s">
        <v>2420</v>
      </c>
      <c r="H78" s="1857" t="s">
        <v>28</v>
      </c>
      <c r="I78" s="1857" t="s">
        <v>1055</v>
      </c>
    </row>
    <row customHeight="1" ht="11.25">
      <c r="A79" s="1857" t="s">
        <v>2399</v>
      </c>
      <c r="B79" s="1857" t="s">
        <v>16</v>
      </c>
      <c r="C79" s="1857" t="s">
        <v>2421</v>
      </c>
      <c r="D79" s="1857" t="s">
        <v>2422</v>
      </c>
      <c r="E79" s="1857" t="s">
        <v>2423</v>
      </c>
      <c r="F79" s="1857" t="s">
        <v>2424</v>
      </c>
      <c r="G79" s="1857" t="s">
        <v>28</v>
      </c>
      <c r="H79" s="1857" t="s">
        <v>28</v>
      </c>
      <c r="I79" s="1857" t="s">
        <v>1055</v>
      </c>
    </row>
    <row customHeight="1" ht="11.25">
      <c r="A80" s="1857" t="s">
        <v>2399</v>
      </c>
      <c r="B80" s="1857" t="s">
        <v>16</v>
      </c>
      <c r="C80" s="1857" t="s">
        <v>2429</v>
      </c>
      <c r="D80" s="1857" t="s">
        <v>2430</v>
      </c>
      <c r="E80" s="1857" t="s">
        <v>2431</v>
      </c>
      <c r="F80" s="1857" t="s">
        <v>2432</v>
      </c>
      <c r="G80" s="1857" t="s">
        <v>28</v>
      </c>
      <c r="H80" s="1857" t="s">
        <v>28</v>
      </c>
      <c r="I80" s="1857" t="s">
        <v>1055</v>
      </c>
    </row>
    <row customHeight="1" ht="11.25">
      <c r="A81" s="1857" t="s">
        <v>2399</v>
      </c>
      <c r="B81" s="1857" t="s">
        <v>16</v>
      </c>
      <c r="C81" s="1857" t="s">
        <v>2436</v>
      </c>
      <c r="D81" s="1857" t="s">
        <v>2437</v>
      </c>
      <c r="E81" s="1857" t="s">
        <v>2438</v>
      </c>
      <c r="F81" s="1857" t="s">
        <v>2439</v>
      </c>
      <c r="G81" s="1857" t="s">
        <v>2440</v>
      </c>
      <c r="H81" s="1857" t="s">
        <v>28</v>
      </c>
      <c r="I81" s="1857" t="s">
        <v>1055</v>
      </c>
    </row>
    <row customHeight="1" ht="11.25">
      <c r="A82" s="1857" t="s">
        <v>2399</v>
      </c>
      <c r="B82" s="1857" t="s">
        <v>16</v>
      </c>
      <c r="C82" s="1857" t="s">
        <v>2452</v>
      </c>
      <c r="D82" s="1857" t="s">
        <v>2453</v>
      </c>
      <c r="E82" s="1857" t="s">
        <v>2454</v>
      </c>
      <c r="F82" s="1857" t="s">
        <v>2455</v>
      </c>
      <c r="G82" s="1857" t="s">
        <v>28</v>
      </c>
      <c r="H82" s="1857" t="s">
        <v>28</v>
      </c>
      <c r="I82" s="1857" t="s">
        <v>1055</v>
      </c>
    </row>
    <row customHeight="1" ht="11.25">
      <c r="A83" s="1857" t="s">
        <v>2399</v>
      </c>
      <c r="B83" s="1857" t="s">
        <v>16</v>
      </c>
      <c r="C83" s="1857" t="s">
        <v>2456</v>
      </c>
      <c r="D83" s="1857" t="s">
        <v>2457</v>
      </c>
      <c r="E83" s="1857" t="s">
        <v>2458</v>
      </c>
      <c r="F83" s="1857" t="s">
        <v>2459</v>
      </c>
      <c r="G83" s="1857" t="s">
        <v>2460</v>
      </c>
      <c r="H83" s="1857" t="s">
        <v>28</v>
      </c>
      <c r="I83" s="1857" t="s">
        <v>1055</v>
      </c>
    </row>
    <row customHeight="1" ht="11.25">
      <c r="A84" s="1857" t="s">
        <v>2399</v>
      </c>
      <c r="B84" s="1857" t="s">
        <v>16</v>
      </c>
      <c r="C84" s="1857" t="s">
        <v>2472</v>
      </c>
      <c r="D84" s="1857" t="s">
        <v>2473</v>
      </c>
      <c r="E84" s="1857" t="s">
        <v>2474</v>
      </c>
      <c r="F84" s="1857" t="s">
        <v>2432</v>
      </c>
      <c r="G84" s="1857" t="s">
        <v>28</v>
      </c>
      <c r="H84" s="1857" t="s">
        <v>28</v>
      </c>
      <c r="I84" s="1857" t="s">
        <v>1055</v>
      </c>
    </row>
    <row customHeight="1" ht="11.25">
      <c r="A85" s="1857" t="s">
        <v>2399</v>
      </c>
      <c r="B85" s="1857" t="s">
        <v>16</v>
      </c>
      <c r="C85" s="1857" t="s">
        <v>2475</v>
      </c>
      <c r="D85" s="1857" t="s">
        <v>2476</v>
      </c>
      <c r="E85" s="1857" t="s">
        <v>2477</v>
      </c>
      <c r="F85" s="1857" t="s">
        <v>2409</v>
      </c>
      <c r="G85" s="1857" t="s">
        <v>28</v>
      </c>
      <c r="H85" s="1857" t="s">
        <v>28</v>
      </c>
      <c r="I85" s="1857" t="s">
        <v>1055</v>
      </c>
    </row>
    <row customHeight="1" ht="11.25">
      <c r="A86" s="1857" t="s">
        <v>2399</v>
      </c>
      <c r="B86" s="1857" t="s">
        <v>16</v>
      </c>
      <c r="C86" s="1857" t="s">
        <v>2478</v>
      </c>
      <c r="D86" s="1857" t="s">
        <v>2479</v>
      </c>
      <c r="E86" s="1857" t="s">
        <v>2480</v>
      </c>
      <c r="F86" s="1857" t="s">
        <v>2481</v>
      </c>
      <c r="G86" s="1857" t="s">
        <v>28</v>
      </c>
      <c r="H86" s="1857" t="s">
        <v>28</v>
      </c>
      <c r="I86" s="1857" t="s">
        <v>1055</v>
      </c>
    </row>
    <row customHeight="1" ht="11.25">
      <c r="A87" s="1857" t="s">
        <v>2399</v>
      </c>
      <c r="B87" s="1857" t="s">
        <v>16</v>
      </c>
      <c r="C87" s="1857" t="s">
        <v>2493</v>
      </c>
      <c r="D87" s="1857" t="s">
        <v>2494</v>
      </c>
      <c r="E87" s="1857" t="s">
        <v>2495</v>
      </c>
      <c r="F87" s="1857" t="s">
        <v>2496</v>
      </c>
      <c r="G87" s="1857" t="s">
        <v>28</v>
      </c>
      <c r="H87" s="1857" t="s">
        <v>28</v>
      </c>
      <c r="I87" s="1857" t="s">
        <v>1055</v>
      </c>
    </row>
    <row customHeight="1" ht="11.25">
      <c r="A88" s="1857" t="s">
        <v>2399</v>
      </c>
      <c r="B88" s="1857" t="s">
        <v>16</v>
      </c>
      <c r="C88" s="1857" t="s">
        <v>2497</v>
      </c>
      <c r="D88" s="1857" t="s">
        <v>2498</v>
      </c>
      <c r="E88" s="1857" t="s">
        <v>2499</v>
      </c>
      <c r="F88" s="1857" t="s">
        <v>2500</v>
      </c>
      <c r="G88" s="1857" t="s">
        <v>28</v>
      </c>
      <c r="H88" s="1857" t="s">
        <v>28</v>
      </c>
      <c r="I88" s="1857" t="s">
        <v>1055</v>
      </c>
    </row>
    <row customHeight="1" ht="11.25">
      <c r="A89" s="1857" t="s">
        <v>2399</v>
      </c>
      <c r="B89" s="1857" t="s">
        <v>16</v>
      </c>
      <c r="C89" s="1857" t="s">
        <v>2501</v>
      </c>
      <c r="D89" s="1857" t="s">
        <v>2502</v>
      </c>
      <c r="E89" s="1857" t="s">
        <v>2503</v>
      </c>
      <c r="F89" s="1857" t="s">
        <v>2409</v>
      </c>
      <c r="G89" s="1857" t="s">
        <v>2504</v>
      </c>
      <c r="H89" s="1857" t="s">
        <v>28</v>
      </c>
      <c r="I89" s="1857" t="s">
        <v>1055</v>
      </c>
    </row>
    <row customHeight="1" ht="11.25">
      <c r="A90" s="1857" t="s">
        <v>2399</v>
      </c>
      <c r="B90" s="1857" t="s">
        <v>16</v>
      </c>
      <c r="C90" s="1857" t="s">
        <v>2515</v>
      </c>
      <c r="D90" s="1857" t="s">
        <v>2516</v>
      </c>
      <c r="E90" s="1857" t="s">
        <v>2513</v>
      </c>
      <c r="F90" s="1857" t="s">
        <v>2517</v>
      </c>
      <c r="G90" s="1857" t="s">
        <v>2518</v>
      </c>
      <c r="H90" s="1857" t="s">
        <v>28</v>
      </c>
      <c r="I90" s="1857" t="s">
        <v>1055</v>
      </c>
    </row>
    <row customHeight="1" ht="11.25">
      <c r="A91" s="1857" t="s">
        <v>2399</v>
      </c>
      <c r="B91" s="1857" t="s">
        <v>16</v>
      </c>
      <c r="C91" s="1857" t="s">
        <v>2525</v>
      </c>
      <c r="D91" s="1857" t="s">
        <v>2526</v>
      </c>
      <c r="E91" s="1857" t="s">
        <v>2527</v>
      </c>
      <c r="F91" s="1857" t="s">
        <v>2468</v>
      </c>
      <c r="G91" s="1857" t="s">
        <v>28</v>
      </c>
      <c r="H91" s="1857" t="s">
        <v>28</v>
      </c>
      <c r="I91" s="1857" t="s">
        <v>1055</v>
      </c>
    </row>
    <row customHeight="1" ht="11.25">
      <c r="A92" s="1857" t="s">
        <v>2399</v>
      </c>
      <c r="B92" s="1857" t="s">
        <v>16</v>
      </c>
      <c r="C92" s="1857" t="s">
        <v>28</v>
      </c>
      <c r="D92" s="1857" t="s">
        <v>2532</v>
      </c>
      <c r="E92" s="1857" t="s">
        <v>2533</v>
      </c>
      <c r="F92" s="1857" t="s">
        <v>52</v>
      </c>
      <c r="G92" s="1857" t="s">
        <v>28</v>
      </c>
      <c r="H92" s="1857" t="s">
        <v>28</v>
      </c>
      <c r="I92" s="1857" t="s">
        <v>1055</v>
      </c>
    </row>
    <row customHeight="1" ht="11.25">
      <c r="A93" s="1857" t="s">
        <v>2399</v>
      </c>
      <c r="B93" s="1857" t="s">
        <v>16</v>
      </c>
      <c r="C93" s="1857" t="s">
        <v>2537</v>
      </c>
      <c r="D93" s="1857" t="s">
        <v>2538</v>
      </c>
      <c r="E93" s="1857" t="s">
        <v>2539</v>
      </c>
      <c r="F93" s="1857" t="s">
        <v>2540</v>
      </c>
      <c r="G93" s="1857" t="s">
        <v>28</v>
      </c>
      <c r="H93" s="1857" t="s">
        <v>28</v>
      </c>
      <c r="I93" s="1857" t="s">
        <v>1055</v>
      </c>
    </row>
    <row customHeight="1" ht="11.25">
      <c r="A94" s="1857" t="s">
        <v>2399</v>
      </c>
      <c r="B94" s="1857" t="s">
        <v>16</v>
      </c>
      <c r="C94" s="1857" t="s">
        <v>2548</v>
      </c>
      <c r="D94" s="1857" t="s">
        <v>2549</v>
      </c>
      <c r="E94" s="1857" t="s">
        <v>2550</v>
      </c>
      <c r="F94" s="1857" t="s">
        <v>2468</v>
      </c>
      <c r="G94" s="1857" t="s">
        <v>28</v>
      </c>
      <c r="H94" s="1857" t="s">
        <v>28</v>
      </c>
      <c r="I94" s="1857" t="s">
        <v>1055</v>
      </c>
    </row>
    <row customHeight="1" ht="11.25">
      <c r="A95" s="1857" t="s">
        <v>2399</v>
      </c>
      <c r="B95" s="1857" t="s">
        <v>16</v>
      </c>
      <c r="C95" s="1857" t="s">
        <v>2555</v>
      </c>
      <c r="D95" s="1857" t="s">
        <v>2556</v>
      </c>
      <c r="E95" s="1857" t="s">
        <v>2557</v>
      </c>
      <c r="F95" s="1857" t="s">
        <v>52</v>
      </c>
      <c r="G95" s="1857" t="s">
        <v>28</v>
      </c>
      <c r="H95" s="1857" t="s">
        <v>28</v>
      </c>
      <c r="I95" s="1857" t="s">
        <v>1055</v>
      </c>
    </row>
    <row customHeight="1" ht="11.25">
      <c r="A96" s="1857" t="s">
        <v>2399</v>
      </c>
      <c r="B96" s="1857" t="s">
        <v>16</v>
      </c>
      <c r="C96" s="1857" t="s">
        <v>2561</v>
      </c>
      <c r="D96" s="1857" t="s">
        <v>2562</v>
      </c>
      <c r="E96" s="1857" t="s">
        <v>2563</v>
      </c>
      <c r="F96" s="1857" t="s">
        <v>52</v>
      </c>
      <c r="G96" s="1857" t="s">
        <v>28</v>
      </c>
      <c r="H96" s="1857" t="s">
        <v>28</v>
      </c>
      <c r="I96" s="1857" t="s">
        <v>1055</v>
      </c>
    </row>
    <row customHeight="1" ht="11.25">
      <c r="A97" s="1857" t="s">
        <v>2399</v>
      </c>
      <c r="B97" s="1857" t="s">
        <v>16</v>
      </c>
      <c r="C97" s="1857" t="s">
        <v>2564</v>
      </c>
      <c r="D97" s="1857" t="s">
        <v>2565</v>
      </c>
      <c r="E97" s="1857" t="s">
        <v>2566</v>
      </c>
      <c r="F97" s="1857" t="s">
        <v>2567</v>
      </c>
      <c r="G97" s="1857" t="s">
        <v>28</v>
      </c>
      <c r="H97" s="1857" t="s">
        <v>28</v>
      </c>
      <c r="I97" s="1857" t="s">
        <v>1055</v>
      </c>
    </row>
    <row customHeight="1" ht="11.25">
      <c r="A98" s="1857" t="s">
        <v>2399</v>
      </c>
      <c r="B98" s="1857" t="s">
        <v>16</v>
      </c>
      <c r="C98" s="1857" t="s">
        <v>2577</v>
      </c>
      <c r="D98" s="1857" t="s">
        <v>2578</v>
      </c>
      <c r="E98" s="1857" t="s">
        <v>2579</v>
      </c>
      <c r="F98" s="1857" t="s">
        <v>2580</v>
      </c>
      <c r="G98" s="1857" t="s">
        <v>28</v>
      </c>
      <c r="H98" s="1857" t="s">
        <v>28</v>
      </c>
      <c r="I98" s="1857" t="s">
        <v>1055</v>
      </c>
    </row>
    <row customHeight="1" ht="11.25">
      <c r="A99" s="1857" t="s">
        <v>2399</v>
      </c>
      <c r="B99" s="1857" t="s">
        <v>16</v>
      </c>
      <c r="C99" s="1857" t="s">
        <v>2584</v>
      </c>
      <c r="D99" s="1857" t="s">
        <v>2585</v>
      </c>
      <c r="E99" s="1857" t="s">
        <v>2586</v>
      </c>
      <c r="F99" s="1857" t="s">
        <v>2419</v>
      </c>
      <c r="G99" s="1857" t="s">
        <v>28</v>
      </c>
      <c r="H99" s="1857" t="s">
        <v>28</v>
      </c>
      <c r="I99" s="1857" t="s">
        <v>1055</v>
      </c>
    </row>
    <row customHeight="1" ht="11.25">
      <c r="A100" s="1857" t="s">
        <v>2399</v>
      </c>
      <c r="B100" s="1857" t="s">
        <v>16</v>
      </c>
      <c r="C100" s="1857" t="s">
        <v>2607</v>
      </c>
      <c r="D100" s="1857" t="s">
        <v>2608</v>
      </c>
      <c r="E100" s="1857" t="s">
        <v>2609</v>
      </c>
      <c r="F100" s="1857" t="s">
        <v>52</v>
      </c>
      <c r="G100" s="1857" t="s">
        <v>28</v>
      </c>
      <c r="H100" s="1857" t="s">
        <v>28</v>
      </c>
      <c r="I100" s="1857" t="s">
        <v>1055</v>
      </c>
    </row>
    <row customHeight="1" ht="11.25">
      <c r="A101" s="1857" t="s">
        <v>2399</v>
      </c>
      <c r="B101" s="1857" t="s">
        <v>16</v>
      </c>
      <c r="C101" s="1857" t="s">
        <v>2613</v>
      </c>
      <c r="D101" s="1857" t="s">
        <v>2614</v>
      </c>
      <c r="E101" s="1857" t="s">
        <v>2615</v>
      </c>
      <c r="F101" s="1857" t="s">
        <v>52</v>
      </c>
      <c r="G101" s="1857" t="s">
        <v>28</v>
      </c>
      <c r="H101" s="1857" t="s">
        <v>28</v>
      </c>
      <c r="I101" s="1857" t="s">
        <v>1055</v>
      </c>
    </row>
    <row customHeight="1" ht="11.25">
      <c r="A102" s="1857" t="s">
        <v>2399</v>
      </c>
      <c r="B102" s="1857" t="s">
        <v>16</v>
      </c>
      <c r="C102" s="1857" t="s">
        <v>2616</v>
      </c>
      <c r="D102" s="1857" t="s">
        <v>2617</v>
      </c>
      <c r="E102" s="1857" t="s">
        <v>2618</v>
      </c>
      <c r="F102" s="1857" t="s">
        <v>52</v>
      </c>
      <c r="G102" s="1857" t="s">
        <v>28</v>
      </c>
      <c r="H102" s="1857" t="s">
        <v>28</v>
      </c>
      <c r="I102" s="1857" t="s">
        <v>1055</v>
      </c>
    </row>
    <row customHeight="1" ht="11.25">
      <c r="A103" s="1857" t="s">
        <v>2399</v>
      </c>
      <c r="B103" s="1857" t="s">
        <v>16</v>
      </c>
      <c r="C103" s="1857" t="s">
        <v>2619</v>
      </c>
      <c r="D103" s="1857" t="s">
        <v>2620</v>
      </c>
      <c r="E103" s="1857" t="s">
        <v>2621</v>
      </c>
      <c r="F103" s="1857" t="s">
        <v>2622</v>
      </c>
      <c r="G103" s="1857" t="s">
        <v>28</v>
      </c>
      <c r="H103" s="1857" t="s">
        <v>28</v>
      </c>
      <c r="I103" s="1857" t="s">
        <v>1055</v>
      </c>
    </row>
    <row customHeight="1" ht="11.25">
      <c r="A104" s="1857" t="s">
        <v>2399</v>
      </c>
      <c r="B104" s="1857" t="s">
        <v>16</v>
      </c>
      <c r="C104" s="1857" t="s">
        <v>2626</v>
      </c>
      <c r="D104" s="1857" t="s">
        <v>2627</v>
      </c>
      <c r="E104" s="1857" t="s">
        <v>2628</v>
      </c>
      <c r="F104" s="1857" t="s">
        <v>2622</v>
      </c>
      <c r="G104" s="1857" t="s">
        <v>28</v>
      </c>
      <c r="H104" s="1857" t="s">
        <v>28</v>
      </c>
      <c r="I104" s="1857" t="s">
        <v>1055</v>
      </c>
    </row>
    <row customHeight="1" ht="11.25">
      <c r="A105" s="1857" t="s">
        <v>2399</v>
      </c>
      <c r="B105" s="1857" t="s">
        <v>16</v>
      </c>
      <c r="C105" s="1857" t="s">
        <v>2629</v>
      </c>
      <c r="D105" s="1857" t="s">
        <v>2630</v>
      </c>
      <c r="E105" s="1857" t="s">
        <v>2631</v>
      </c>
      <c r="F105" s="1857" t="s">
        <v>52</v>
      </c>
      <c r="G105" s="1857" t="s">
        <v>28</v>
      </c>
      <c r="H105" s="1857" t="s">
        <v>28</v>
      </c>
      <c r="I105" s="1857" t="s">
        <v>1055</v>
      </c>
    </row>
    <row customHeight="1" ht="11.25">
      <c r="A106" s="1857" t="s">
        <v>2399</v>
      </c>
      <c r="B106" s="1857" t="s">
        <v>16</v>
      </c>
      <c r="C106" s="1857" t="s">
        <v>2632</v>
      </c>
      <c r="D106" s="1857" t="s">
        <v>2633</v>
      </c>
      <c r="E106" s="1857" t="s">
        <v>2634</v>
      </c>
      <c r="F106" s="1857" t="s">
        <v>52</v>
      </c>
      <c r="G106" s="1857" t="s">
        <v>28</v>
      </c>
      <c r="H106" s="1857" t="s">
        <v>28</v>
      </c>
      <c r="I106" s="1857" t="s">
        <v>1055</v>
      </c>
    </row>
    <row customHeight="1" ht="11.25">
      <c r="A107" s="1857" t="s">
        <v>2399</v>
      </c>
      <c r="B107" s="1857" t="s">
        <v>16</v>
      </c>
      <c r="C107" s="1857" t="s">
        <v>2635</v>
      </c>
      <c r="D107" s="1857" t="s">
        <v>2636</v>
      </c>
      <c r="E107" s="1857" t="s">
        <v>2431</v>
      </c>
      <c r="F107" s="1857" t="s">
        <v>2637</v>
      </c>
      <c r="G107" s="1857" t="s">
        <v>2638</v>
      </c>
      <c r="H107" s="1857" t="s">
        <v>28</v>
      </c>
      <c r="I107" s="1857" t="s">
        <v>1055</v>
      </c>
    </row>
    <row customHeight="1" ht="11.25">
      <c r="A108" s="1857" t="s">
        <v>2399</v>
      </c>
      <c r="B108" s="1857" t="s">
        <v>16</v>
      </c>
      <c r="C108" s="1857" t="s">
        <v>28</v>
      </c>
      <c r="D108" s="1857" t="s">
        <v>2642</v>
      </c>
      <c r="E108" s="1857" t="s">
        <v>2643</v>
      </c>
      <c r="F108" s="1857" t="s">
        <v>52</v>
      </c>
      <c r="G108" s="1857" t="s">
        <v>28</v>
      </c>
      <c r="H108" s="1857" t="s">
        <v>28</v>
      </c>
      <c r="I108" s="1857" t="s">
        <v>1055</v>
      </c>
    </row>
    <row customHeight="1" ht="11.25">
      <c r="A109" s="1857" t="s">
        <v>2399</v>
      </c>
      <c r="B109" s="1857" t="s">
        <v>16</v>
      </c>
      <c r="C109" s="1857" t="s">
        <v>2658</v>
      </c>
      <c r="D109" s="1857" t="s">
        <v>2659</v>
      </c>
      <c r="E109" s="1857" t="s">
        <v>2656</v>
      </c>
      <c r="F109" s="1857" t="s">
        <v>2660</v>
      </c>
      <c r="G109" s="1857" t="s">
        <v>28</v>
      </c>
      <c r="H109" s="1857" t="s">
        <v>28</v>
      </c>
      <c r="I109" s="1857" t="s">
        <v>1055</v>
      </c>
    </row>
    <row customHeight="1" ht="11.25">
      <c r="A110" s="1857" t="s">
        <v>2399</v>
      </c>
      <c r="B110" s="1857" t="s">
        <v>16</v>
      </c>
      <c r="C110" s="1857" t="s">
        <v>2651</v>
      </c>
      <c r="D110" s="1857" t="s">
        <v>2652</v>
      </c>
      <c r="E110" s="1857" t="s">
        <v>2474</v>
      </c>
      <c r="F110" s="1857" t="s">
        <v>2653</v>
      </c>
      <c r="G110" s="1857" t="s">
        <v>28</v>
      </c>
      <c r="H110" s="1857" t="s">
        <v>28</v>
      </c>
      <c r="I110" s="1857" t="s">
        <v>1055</v>
      </c>
    </row>
    <row customHeight="1" ht="11.25">
      <c r="A111" s="1857" t="s">
        <v>2399</v>
      </c>
      <c r="B111" s="1857" t="s">
        <v>16</v>
      </c>
      <c r="C111" s="1857" t="s">
        <v>2654</v>
      </c>
      <c r="D111" s="1857" t="s">
        <v>2655</v>
      </c>
      <c r="E111" s="1857" t="s">
        <v>2656</v>
      </c>
      <c r="F111" s="1857" t="s">
        <v>2657</v>
      </c>
      <c r="G111" s="1857" t="s">
        <v>28</v>
      </c>
      <c r="H111" s="1857" t="s">
        <v>28</v>
      </c>
      <c r="I111" s="1857" t="s">
        <v>1055</v>
      </c>
    </row>
    <row customHeight="1" ht="11.25">
      <c r="A112" s="1857" t="s">
        <v>2399</v>
      </c>
      <c r="B112" s="1857" t="s">
        <v>16</v>
      </c>
      <c r="C112" s="1857" t="s">
        <v>2661</v>
      </c>
      <c r="D112" s="1857" t="s">
        <v>2430</v>
      </c>
      <c r="E112" s="1857" t="s">
        <v>2431</v>
      </c>
      <c r="F112" s="1857" t="s">
        <v>2662</v>
      </c>
      <c r="G112" s="1857" t="s">
        <v>2663</v>
      </c>
      <c r="H112" s="1857" t="s">
        <v>28</v>
      </c>
      <c r="I112" s="1857" t="s">
        <v>1015</v>
      </c>
    </row>
    <row customHeight="1" ht="11.25">
      <c r="A113" s="1857" t="s">
        <v>2399</v>
      </c>
      <c r="B113" s="1857" t="s">
        <v>16</v>
      </c>
      <c r="C113" s="1857" t="s">
        <v>2429</v>
      </c>
      <c r="D113" s="1857" t="s">
        <v>2430</v>
      </c>
      <c r="E113" s="1857" t="s">
        <v>2431</v>
      </c>
      <c r="F113" s="1857" t="s">
        <v>2432</v>
      </c>
      <c r="G113" s="1857" t="s">
        <v>28</v>
      </c>
      <c r="H113" s="1857" t="s">
        <v>28</v>
      </c>
      <c r="I113" s="1857" t="s">
        <v>1015</v>
      </c>
    </row>
    <row customHeight="1" ht="11.25">
      <c r="A114" s="1857" t="s">
        <v>2399</v>
      </c>
      <c r="B114" s="1857" t="s">
        <v>16</v>
      </c>
      <c r="C114" s="1857" t="s">
        <v>2433</v>
      </c>
      <c r="D114" s="1857" t="s">
        <v>2434</v>
      </c>
      <c r="E114" s="1857" t="s">
        <v>2435</v>
      </c>
      <c r="F114" s="1857" t="s">
        <v>52</v>
      </c>
      <c r="G114" s="1857" t="s">
        <v>28</v>
      </c>
      <c r="H114" s="1857" t="s">
        <v>28</v>
      </c>
      <c r="I114" s="1857" t="s">
        <v>1015</v>
      </c>
    </row>
    <row customHeight="1" ht="11.25">
      <c r="A115" s="1857" t="s">
        <v>2399</v>
      </c>
      <c r="B115" s="1857" t="s">
        <v>16</v>
      </c>
      <c r="C115" s="1857" t="s">
        <v>2441</v>
      </c>
      <c r="D115" s="1857" t="s">
        <v>2442</v>
      </c>
      <c r="E115" s="1857" t="s">
        <v>2443</v>
      </c>
      <c r="F115" s="1857" t="s">
        <v>52</v>
      </c>
      <c r="G115" s="1857" t="s">
        <v>28</v>
      </c>
      <c r="H115" s="1857" t="s">
        <v>28</v>
      </c>
      <c r="I115" s="1857" t="s">
        <v>1015</v>
      </c>
    </row>
    <row customHeight="1" ht="11.25">
      <c r="A116" s="1857" t="s">
        <v>2399</v>
      </c>
      <c r="B116" s="1857" t="s">
        <v>16</v>
      </c>
      <c r="C116" s="1857" t="s">
        <v>2664</v>
      </c>
      <c r="D116" s="1857" t="s">
        <v>2665</v>
      </c>
      <c r="E116" s="1857" t="s">
        <v>2666</v>
      </c>
      <c r="F116" s="1857" t="s">
        <v>2667</v>
      </c>
      <c r="G116" s="1857" t="s">
        <v>28</v>
      </c>
      <c r="H116" s="1857" t="s">
        <v>28</v>
      </c>
      <c r="I116" s="1857" t="s">
        <v>1015</v>
      </c>
    </row>
    <row customHeight="1" ht="11.25">
      <c r="A117" s="1857" t="s">
        <v>2399</v>
      </c>
      <c r="B117" s="1857" t="s">
        <v>16</v>
      </c>
      <c r="C117" s="1857" t="s">
        <v>2461</v>
      </c>
      <c r="D117" s="1857" t="s">
        <v>2462</v>
      </c>
      <c r="E117" s="1857" t="s">
        <v>2463</v>
      </c>
      <c r="F117" s="1857" t="s">
        <v>2464</v>
      </c>
      <c r="G117" s="1857" t="s">
        <v>28</v>
      </c>
      <c r="H117" s="1857" t="s">
        <v>28</v>
      </c>
      <c r="I117" s="1857" t="s">
        <v>1015</v>
      </c>
    </row>
    <row customHeight="1" ht="11.25">
      <c r="A118" s="1857" t="s">
        <v>2399</v>
      </c>
      <c r="B118" s="1857" t="s">
        <v>16</v>
      </c>
      <c r="C118" s="1857" t="s">
        <v>2465</v>
      </c>
      <c r="D118" s="1857" t="s">
        <v>2466</v>
      </c>
      <c r="E118" s="1857" t="s">
        <v>2467</v>
      </c>
      <c r="F118" s="1857" t="s">
        <v>2468</v>
      </c>
      <c r="G118" s="1857" t="s">
        <v>28</v>
      </c>
      <c r="H118" s="1857" t="s">
        <v>28</v>
      </c>
      <c r="I118" s="1857" t="s">
        <v>1015</v>
      </c>
    </row>
    <row customHeight="1" ht="11.25">
      <c r="A119" s="1857" t="s">
        <v>2399</v>
      </c>
      <c r="B119" s="1857" t="s">
        <v>16</v>
      </c>
      <c r="C119" s="1857" t="s">
        <v>2469</v>
      </c>
      <c r="D119" s="1857" t="s">
        <v>2470</v>
      </c>
      <c r="E119" s="1857" t="s">
        <v>2471</v>
      </c>
      <c r="F119" s="1857" t="s">
        <v>2468</v>
      </c>
      <c r="G119" s="1857" t="s">
        <v>28</v>
      </c>
      <c r="H119" s="1857" t="s">
        <v>28</v>
      </c>
      <c r="I119" s="1857" t="s">
        <v>1015</v>
      </c>
    </row>
    <row customHeight="1" ht="11.25">
      <c r="A120" s="1857" t="s">
        <v>2399</v>
      </c>
      <c r="B120" s="1857" t="s">
        <v>16</v>
      </c>
      <c r="C120" s="1857" t="s">
        <v>2486</v>
      </c>
      <c r="D120" s="1857" t="s">
        <v>2487</v>
      </c>
      <c r="E120" s="1857" t="s">
        <v>2488</v>
      </c>
      <c r="F120" s="1857" t="s">
        <v>2468</v>
      </c>
      <c r="G120" s="1857" t="s">
        <v>28</v>
      </c>
      <c r="H120" s="1857" t="s">
        <v>28</v>
      </c>
      <c r="I120" s="1857" t="s">
        <v>1015</v>
      </c>
    </row>
    <row customHeight="1" ht="11.25">
      <c r="A121" s="1857" t="s">
        <v>2399</v>
      </c>
      <c r="B121" s="1857" t="s">
        <v>16</v>
      </c>
      <c r="C121" s="1857" t="s">
        <v>2668</v>
      </c>
      <c r="D121" s="1857" t="s">
        <v>2669</v>
      </c>
      <c r="E121" s="1857" t="s">
        <v>2670</v>
      </c>
      <c r="F121" s="1857" t="s">
        <v>2419</v>
      </c>
      <c r="G121" s="1857" t="s">
        <v>28</v>
      </c>
      <c r="H121" s="1857" t="s">
        <v>28</v>
      </c>
      <c r="I121" s="1857" t="s">
        <v>1015</v>
      </c>
    </row>
    <row customHeight="1" ht="11.25">
      <c r="A122" s="1857" t="s">
        <v>2399</v>
      </c>
      <c r="B122" s="1857" t="s">
        <v>16</v>
      </c>
      <c r="C122" s="1857" t="s">
        <v>2505</v>
      </c>
      <c r="D122" s="1857" t="s">
        <v>2506</v>
      </c>
      <c r="E122" s="1857" t="s">
        <v>2507</v>
      </c>
      <c r="F122" s="1857" t="s">
        <v>2468</v>
      </c>
      <c r="G122" s="1857" t="s">
        <v>28</v>
      </c>
      <c r="H122" s="1857" t="s">
        <v>28</v>
      </c>
      <c r="I122" s="1857" t="s">
        <v>1015</v>
      </c>
    </row>
    <row customHeight="1" ht="11.25">
      <c r="A123" s="1857" t="s">
        <v>2399</v>
      </c>
      <c r="B123" s="1857" t="s">
        <v>16</v>
      </c>
      <c r="C123" s="1857" t="s">
        <v>2511</v>
      </c>
      <c r="D123" s="1857" t="s">
        <v>2512</v>
      </c>
      <c r="E123" s="1857" t="s">
        <v>2513</v>
      </c>
      <c r="F123" s="1857" t="s">
        <v>2514</v>
      </c>
      <c r="G123" s="1857" t="s">
        <v>28</v>
      </c>
      <c r="H123" s="1857" t="s">
        <v>28</v>
      </c>
      <c r="I123" s="1857" t="s">
        <v>1015</v>
      </c>
    </row>
    <row customHeight="1" ht="11.25">
      <c r="A124" s="1857" t="s">
        <v>2399</v>
      </c>
      <c r="B124" s="1857" t="s">
        <v>16</v>
      </c>
      <c r="C124" s="1857" t="s">
        <v>2515</v>
      </c>
      <c r="D124" s="1857" t="s">
        <v>2516</v>
      </c>
      <c r="E124" s="1857" t="s">
        <v>2513</v>
      </c>
      <c r="F124" s="1857" t="s">
        <v>2517</v>
      </c>
      <c r="G124" s="1857" t="s">
        <v>2518</v>
      </c>
      <c r="H124" s="1857" t="s">
        <v>28</v>
      </c>
      <c r="I124" s="1857" t="s">
        <v>1015</v>
      </c>
    </row>
    <row customHeight="1" ht="11.25">
      <c r="A125" s="1857" t="s">
        <v>2399</v>
      </c>
      <c r="B125" s="1857" t="s">
        <v>16</v>
      </c>
      <c r="C125" s="1857" t="s">
        <v>13</v>
      </c>
      <c r="D125" s="1857" t="s">
        <v>47</v>
      </c>
      <c r="E125" s="1857" t="s">
        <v>50</v>
      </c>
      <c r="F125" s="1857" t="s">
        <v>52</v>
      </c>
      <c r="G125" s="1857" t="s">
        <v>28</v>
      </c>
      <c r="H125" s="1857" t="s">
        <v>28</v>
      </c>
      <c r="I125" s="1857" t="s">
        <v>1015</v>
      </c>
    </row>
    <row customHeight="1" ht="11.25">
      <c r="A126" s="1857" t="s">
        <v>2399</v>
      </c>
      <c r="B126" s="1857" t="s">
        <v>16</v>
      </c>
      <c r="C126" s="1857" t="s">
        <v>2671</v>
      </c>
      <c r="D126" s="1857" t="s">
        <v>2672</v>
      </c>
      <c r="E126" s="1857" t="s">
        <v>2673</v>
      </c>
      <c r="F126" s="1857" t="s">
        <v>2674</v>
      </c>
      <c r="G126" s="1857" t="s">
        <v>28</v>
      </c>
      <c r="H126" s="1857" t="s">
        <v>2675</v>
      </c>
      <c r="I126" s="1857" t="s">
        <v>1015</v>
      </c>
    </row>
    <row customHeight="1" ht="11.25">
      <c r="A127" s="1857" t="s">
        <v>2399</v>
      </c>
      <c r="B127" s="1857" t="s">
        <v>16</v>
      </c>
      <c r="C127" s="1857" t="s">
        <v>2676</v>
      </c>
      <c r="D127" s="1857" t="s">
        <v>2677</v>
      </c>
      <c r="E127" s="1857" t="s">
        <v>2678</v>
      </c>
      <c r="F127" s="1857" t="s">
        <v>2468</v>
      </c>
      <c r="G127" s="1857" t="s">
        <v>28</v>
      </c>
      <c r="H127" s="1857" t="s">
        <v>2679</v>
      </c>
      <c r="I127" s="1857" t="s">
        <v>1015</v>
      </c>
    </row>
    <row customHeight="1" ht="11.25">
      <c r="A128" s="1857" t="s">
        <v>2399</v>
      </c>
      <c r="B128" s="1857" t="s">
        <v>16</v>
      </c>
      <c r="C128" s="1857" t="s">
        <v>2519</v>
      </c>
      <c r="D128" s="1857" t="s">
        <v>2520</v>
      </c>
      <c r="E128" s="1857" t="s">
        <v>2521</v>
      </c>
      <c r="F128" s="1857" t="s">
        <v>2409</v>
      </c>
      <c r="G128" s="1857" t="s">
        <v>28</v>
      </c>
      <c r="H128" s="1857" t="s">
        <v>28</v>
      </c>
      <c r="I128" s="1857" t="s">
        <v>1015</v>
      </c>
    </row>
    <row customHeight="1" ht="11.25">
      <c r="A129" s="1857" t="s">
        <v>2399</v>
      </c>
      <c r="B129" s="1857" t="s">
        <v>16</v>
      </c>
      <c r="C129" s="1857" t="s">
        <v>2680</v>
      </c>
      <c r="D129" s="1857" t="s">
        <v>2681</v>
      </c>
      <c r="E129" s="1857" t="s">
        <v>2682</v>
      </c>
      <c r="F129" s="1857" t="s">
        <v>2403</v>
      </c>
      <c r="G129" s="1857" t="s">
        <v>28</v>
      </c>
      <c r="H129" s="1857" t="s">
        <v>28</v>
      </c>
      <c r="I129" s="1857" t="s">
        <v>1015</v>
      </c>
    </row>
    <row customHeight="1" ht="11.25">
      <c r="A130" s="1857" t="s">
        <v>2399</v>
      </c>
      <c r="B130" s="1857" t="s">
        <v>16</v>
      </c>
      <c r="C130" s="1857" t="s">
        <v>2683</v>
      </c>
      <c r="D130" s="1857" t="s">
        <v>2684</v>
      </c>
      <c r="E130" s="1857" t="s">
        <v>2685</v>
      </c>
      <c r="F130" s="1857" t="s">
        <v>2580</v>
      </c>
      <c r="G130" s="1857" t="s">
        <v>28</v>
      </c>
      <c r="H130" s="1857" t="s">
        <v>28</v>
      </c>
      <c r="I130" s="1857" t="s">
        <v>1015</v>
      </c>
    </row>
    <row customHeight="1" ht="11.25">
      <c r="A131" s="1857" t="s">
        <v>2399</v>
      </c>
      <c r="B131" s="1857" t="s">
        <v>16</v>
      </c>
      <c r="C131" s="1857" t="s">
        <v>2686</v>
      </c>
      <c r="D131" s="1857" t="s">
        <v>2687</v>
      </c>
      <c r="E131" s="1857" t="s">
        <v>2688</v>
      </c>
      <c r="F131" s="1857" t="s">
        <v>2468</v>
      </c>
      <c r="G131" s="1857" t="s">
        <v>28</v>
      </c>
      <c r="H131" s="1857" t="s">
        <v>28</v>
      </c>
      <c r="I131" s="1857" t="s">
        <v>1015</v>
      </c>
    </row>
    <row customHeight="1" ht="11.25">
      <c r="A132" s="1857" t="s">
        <v>2399</v>
      </c>
      <c r="B132" s="1857" t="s">
        <v>16</v>
      </c>
      <c r="C132" s="1857" t="s">
        <v>2689</v>
      </c>
      <c r="D132" s="1857" t="s">
        <v>2690</v>
      </c>
      <c r="E132" s="1857" t="s">
        <v>2691</v>
      </c>
      <c r="F132" s="1857" t="s">
        <v>2580</v>
      </c>
      <c r="G132" s="1857" t="s">
        <v>28</v>
      </c>
      <c r="H132" s="1857" t="s">
        <v>28</v>
      </c>
      <c r="I132" s="1857" t="s">
        <v>1015</v>
      </c>
    </row>
    <row customHeight="1" ht="11.25">
      <c r="A133" s="1857" t="s">
        <v>2399</v>
      </c>
      <c r="B133" s="1857" t="s">
        <v>16</v>
      </c>
      <c r="C133" s="1857" t="s">
        <v>2692</v>
      </c>
      <c r="D133" s="1857" t="s">
        <v>2693</v>
      </c>
      <c r="E133" s="1857" t="s">
        <v>2694</v>
      </c>
      <c r="F133" s="1857" t="s">
        <v>737</v>
      </c>
      <c r="G133" s="1857" t="s">
        <v>28</v>
      </c>
      <c r="H133" s="1857" t="s">
        <v>2695</v>
      </c>
      <c r="I133" s="1857" t="s">
        <v>1015</v>
      </c>
    </row>
    <row customHeight="1" ht="11.25">
      <c r="A134" s="1857" t="s">
        <v>2399</v>
      </c>
      <c r="B134" s="1857" t="s">
        <v>16</v>
      </c>
      <c r="C134" s="1857" t="s">
        <v>28</v>
      </c>
      <c r="D134" s="1857" t="s">
        <v>2532</v>
      </c>
      <c r="E134" s="1857" t="s">
        <v>2533</v>
      </c>
      <c r="F134" s="1857" t="s">
        <v>52</v>
      </c>
      <c r="G134" s="1857" t="s">
        <v>28</v>
      </c>
      <c r="H134" s="1857" t="s">
        <v>28</v>
      </c>
      <c r="I134" s="1857" t="s">
        <v>1015</v>
      </c>
    </row>
    <row customHeight="1" ht="11.25">
      <c r="A135" s="1857" t="s">
        <v>2399</v>
      </c>
      <c r="B135" s="1857" t="s">
        <v>16</v>
      </c>
      <c r="C135" s="1857" t="s">
        <v>2696</v>
      </c>
      <c r="D135" s="1857" t="s">
        <v>2697</v>
      </c>
      <c r="E135" s="1857" t="s">
        <v>2698</v>
      </c>
      <c r="F135" s="1857" t="s">
        <v>2485</v>
      </c>
      <c r="G135" s="1857" t="s">
        <v>28</v>
      </c>
      <c r="H135" s="1857" t="s">
        <v>2699</v>
      </c>
      <c r="I135" s="1857" t="s">
        <v>1015</v>
      </c>
    </row>
    <row customHeight="1" ht="11.25">
      <c r="A136" s="1857" t="s">
        <v>2399</v>
      </c>
      <c r="B136" s="1857" t="s">
        <v>16</v>
      </c>
      <c r="C136" s="1857" t="s">
        <v>2700</v>
      </c>
      <c r="D136" s="1857" t="s">
        <v>2701</v>
      </c>
      <c r="E136" s="1857" t="s">
        <v>2543</v>
      </c>
      <c r="F136" s="1857" t="s">
        <v>2702</v>
      </c>
      <c r="G136" s="1857" t="s">
        <v>2703</v>
      </c>
      <c r="H136" s="1857" t="s">
        <v>2544</v>
      </c>
      <c r="I136" s="1857" t="s">
        <v>1015</v>
      </c>
    </row>
    <row customHeight="1" ht="11.25">
      <c r="A137" s="1857" t="s">
        <v>2399</v>
      </c>
      <c r="B137" s="1857" t="s">
        <v>16</v>
      </c>
      <c r="C137" s="1857" t="s">
        <v>2704</v>
      </c>
      <c r="D137" s="1857" t="s">
        <v>2705</v>
      </c>
      <c r="E137" s="1857" t="s">
        <v>2706</v>
      </c>
      <c r="F137" s="1857" t="s">
        <v>2403</v>
      </c>
      <c r="G137" s="1857" t="s">
        <v>28</v>
      </c>
      <c r="H137" s="1857" t="s">
        <v>28</v>
      </c>
      <c r="I137" s="1857" t="s">
        <v>1015</v>
      </c>
    </row>
    <row customHeight="1" ht="11.25">
      <c r="A138" s="1857" t="s">
        <v>2399</v>
      </c>
      <c r="B138" s="1857" t="s">
        <v>16</v>
      </c>
      <c r="C138" s="1857" t="s">
        <v>2707</v>
      </c>
      <c r="D138" s="1857" t="s">
        <v>2708</v>
      </c>
      <c r="E138" s="1857" t="s">
        <v>2709</v>
      </c>
      <c r="F138" s="1857" t="s">
        <v>2576</v>
      </c>
      <c r="G138" s="1857" t="s">
        <v>28</v>
      </c>
      <c r="H138" s="1857" t="s">
        <v>28</v>
      </c>
      <c r="I138" s="1857" t="s">
        <v>1015</v>
      </c>
    </row>
    <row customHeight="1" ht="11.25">
      <c r="A139" s="1857" t="s">
        <v>2399</v>
      </c>
      <c r="B139" s="1857" t="s">
        <v>16</v>
      </c>
      <c r="C139" s="1857" t="s">
        <v>2710</v>
      </c>
      <c r="D139" s="1857" t="s">
        <v>2711</v>
      </c>
      <c r="E139" s="1857" t="s">
        <v>2712</v>
      </c>
      <c r="F139" s="1857" t="s">
        <v>2713</v>
      </c>
      <c r="G139" s="1857" t="s">
        <v>28</v>
      </c>
      <c r="H139" s="1857" t="s">
        <v>28</v>
      </c>
      <c r="I139" s="1857" t="s">
        <v>1015</v>
      </c>
    </row>
    <row customHeight="1" ht="11.25">
      <c r="A140" s="1857" t="s">
        <v>2399</v>
      </c>
      <c r="B140" s="1857" t="s">
        <v>16</v>
      </c>
      <c r="C140" s="1857" t="s">
        <v>2551</v>
      </c>
      <c r="D140" s="1857" t="s">
        <v>2552</v>
      </c>
      <c r="E140" s="1857" t="s">
        <v>2553</v>
      </c>
      <c r="F140" s="1857" t="s">
        <v>52</v>
      </c>
      <c r="G140" s="1857" t="s">
        <v>2554</v>
      </c>
      <c r="H140" s="1857" t="s">
        <v>28</v>
      </c>
      <c r="I140" s="1857" t="s">
        <v>1015</v>
      </c>
    </row>
    <row customHeight="1" ht="11.25">
      <c r="A141" s="1857" t="s">
        <v>2399</v>
      </c>
      <c r="B141" s="1857" t="s">
        <v>16</v>
      </c>
      <c r="C141" s="1857" t="s">
        <v>2555</v>
      </c>
      <c r="D141" s="1857" t="s">
        <v>2556</v>
      </c>
      <c r="E141" s="1857" t="s">
        <v>2557</v>
      </c>
      <c r="F141" s="1857" t="s">
        <v>52</v>
      </c>
      <c r="G141" s="1857" t="s">
        <v>28</v>
      </c>
      <c r="H141" s="1857" t="s">
        <v>28</v>
      </c>
      <c r="I141" s="1857" t="s">
        <v>1015</v>
      </c>
    </row>
    <row customHeight="1" ht="11.25">
      <c r="A142" s="1857" t="s">
        <v>2399</v>
      </c>
      <c r="B142" s="1857" t="s">
        <v>16</v>
      </c>
      <c r="C142" s="1857" t="s">
        <v>2568</v>
      </c>
      <c r="D142" s="1857" t="s">
        <v>2569</v>
      </c>
      <c r="E142" s="1857" t="s">
        <v>2570</v>
      </c>
      <c r="F142" s="1857" t="s">
        <v>2571</v>
      </c>
      <c r="G142" s="1857" t="s">
        <v>2572</v>
      </c>
      <c r="H142" s="1857" t="s">
        <v>28</v>
      </c>
      <c r="I142" s="1857" t="s">
        <v>1015</v>
      </c>
    </row>
    <row customHeight="1" ht="11.25">
      <c r="A143" s="1857" t="s">
        <v>2399</v>
      </c>
      <c r="B143" s="1857" t="s">
        <v>16</v>
      </c>
      <c r="C143" s="1857" t="s">
        <v>2714</v>
      </c>
      <c r="D143" s="1857" t="s">
        <v>2715</v>
      </c>
      <c r="E143" s="1857" t="s">
        <v>2716</v>
      </c>
      <c r="F143" s="1857" t="s">
        <v>2622</v>
      </c>
      <c r="G143" s="1857" t="s">
        <v>28</v>
      </c>
      <c r="H143" s="1857" t="s">
        <v>2717</v>
      </c>
      <c r="I143" s="1857" t="s">
        <v>1015</v>
      </c>
    </row>
    <row customHeight="1" ht="11.25">
      <c r="A144" s="1857" t="s">
        <v>2399</v>
      </c>
      <c r="B144" s="1857" t="s">
        <v>16</v>
      </c>
      <c r="C144" s="1857" t="s">
        <v>2718</v>
      </c>
      <c r="D144" s="1857" t="s">
        <v>2719</v>
      </c>
      <c r="E144" s="1857" t="s">
        <v>2720</v>
      </c>
      <c r="F144" s="1857" t="s">
        <v>2439</v>
      </c>
      <c r="G144" s="1857" t="s">
        <v>28</v>
      </c>
      <c r="H144" s="1857" t="s">
        <v>28</v>
      </c>
      <c r="I144" s="1857" t="s">
        <v>1015</v>
      </c>
    </row>
    <row customHeight="1" ht="11.25">
      <c r="A145" s="1857" t="s">
        <v>2399</v>
      </c>
      <c r="B145" s="1857" t="s">
        <v>16</v>
      </c>
      <c r="C145" s="1857" t="s">
        <v>2721</v>
      </c>
      <c r="D145" s="1857" t="s">
        <v>2722</v>
      </c>
      <c r="E145" s="1857" t="s">
        <v>2723</v>
      </c>
      <c r="F145" s="1857" t="s">
        <v>2424</v>
      </c>
      <c r="G145" s="1857" t="s">
        <v>28</v>
      </c>
      <c r="H145" s="1857" t="s">
        <v>28</v>
      </c>
      <c r="I145" s="1857" t="s">
        <v>1015</v>
      </c>
    </row>
    <row customHeight="1" ht="11.25">
      <c r="A146" s="1857" t="s">
        <v>2399</v>
      </c>
      <c r="B146" s="1857" t="s">
        <v>16</v>
      </c>
      <c r="C146" s="1857" t="s">
        <v>2724</v>
      </c>
      <c r="D146" s="1857" t="s">
        <v>2725</v>
      </c>
      <c r="E146" s="1857" t="s">
        <v>2726</v>
      </c>
      <c r="F146" s="1857" t="s">
        <v>2576</v>
      </c>
      <c r="G146" s="1857" t="s">
        <v>28</v>
      </c>
      <c r="H146" s="1857" t="s">
        <v>28</v>
      </c>
      <c r="I146" s="1857" t="s">
        <v>1015</v>
      </c>
    </row>
    <row customHeight="1" ht="11.25">
      <c r="A147" s="1857" t="s">
        <v>2399</v>
      </c>
      <c r="B147" s="1857" t="s">
        <v>16</v>
      </c>
      <c r="C147" s="1857" t="s">
        <v>2584</v>
      </c>
      <c r="D147" s="1857" t="s">
        <v>2585</v>
      </c>
      <c r="E147" s="1857" t="s">
        <v>2586</v>
      </c>
      <c r="F147" s="1857" t="s">
        <v>2419</v>
      </c>
      <c r="G147" s="1857" t="s">
        <v>28</v>
      </c>
      <c r="H147" s="1857" t="s">
        <v>28</v>
      </c>
      <c r="I147" s="1857" t="s">
        <v>1015</v>
      </c>
    </row>
    <row customHeight="1" ht="11.25">
      <c r="A148" s="1857" t="s">
        <v>2399</v>
      </c>
      <c r="B148" s="1857" t="s">
        <v>16</v>
      </c>
      <c r="C148" s="1857" t="s">
        <v>2727</v>
      </c>
      <c r="D148" s="1857" t="s">
        <v>2728</v>
      </c>
      <c r="E148" s="1857" t="s">
        <v>2729</v>
      </c>
      <c r="F148" s="1857" t="s">
        <v>2447</v>
      </c>
      <c r="G148" s="1857" t="s">
        <v>28</v>
      </c>
      <c r="H148" s="1857" t="s">
        <v>28</v>
      </c>
      <c r="I148" s="1857" t="s">
        <v>1015</v>
      </c>
    </row>
    <row customHeight="1" ht="11.25">
      <c r="A149" s="1857" t="s">
        <v>2399</v>
      </c>
      <c r="B149" s="1857" t="s">
        <v>16</v>
      </c>
      <c r="C149" s="1857" t="s">
        <v>2590</v>
      </c>
      <c r="D149" s="1857" t="s">
        <v>2591</v>
      </c>
      <c r="E149" s="1857" t="s">
        <v>2592</v>
      </c>
      <c r="F149" s="1857" t="s">
        <v>2468</v>
      </c>
      <c r="G149" s="1857" t="s">
        <v>2593</v>
      </c>
      <c r="H149" s="1857" t="s">
        <v>28</v>
      </c>
      <c r="I149" s="1857" t="s">
        <v>1015</v>
      </c>
    </row>
    <row customHeight="1" ht="11.25">
      <c r="A150" s="1857" t="s">
        <v>2399</v>
      </c>
      <c r="B150" s="1857" t="s">
        <v>16</v>
      </c>
      <c r="C150" s="1857" t="s">
        <v>2730</v>
      </c>
      <c r="D150" s="1857" t="s">
        <v>2731</v>
      </c>
      <c r="E150" s="1857" t="s">
        <v>2732</v>
      </c>
      <c r="F150" s="1857" t="s">
        <v>2576</v>
      </c>
      <c r="G150" s="1857" t="s">
        <v>28</v>
      </c>
      <c r="H150" s="1857" t="s">
        <v>28</v>
      </c>
      <c r="I150" s="1857" t="s">
        <v>1015</v>
      </c>
    </row>
    <row customHeight="1" ht="11.25">
      <c r="A151" s="1857" t="s">
        <v>2399</v>
      </c>
      <c r="B151" s="1857" t="s">
        <v>16</v>
      </c>
      <c r="C151" s="1857" t="s">
        <v>2733</v>
      </c>
      <c r="D151" s="1857" t="s">
        <v>2734</v>
      </c>
      <c r="E151" s="1857" t="s">
        <v>2735</v>
      </c>
      <c r="F151" s="1857" t="s">
        <v>52</v>
      </c>
      <c r="G151" s="1857" t="s">
        <v>28</v>
      </c>
      <c r="H151" s="1857" t="s">
        <v>28</v>
      </c>
      <c r="I151" s="1857" t="s">
        <v>1015</v>
      </c>
    </row>
    <row customHeight="1" ht="11.25">
      <c r="A152" s="1857" t="s">
        <v>2399</v>
      </c>
      <c r="B152" s="1857" t="s">
        <v>16</v>
      </c>
      <c r="C152" s="1857" t="s">
        <v>2736</v>
      </c>
      <c r="D152" s="1857" t="s">
        <v>2737</v>
      </c>
      <c r="E152" s="1857" t="s">
        <v>2738</v>
      </c>
      <c r="F152" s="1857" t="s">
        <v>2739</v>
      </c>
      <c r="G152" s="1857" t="s">
        <v>28</v>
      </c>
      <c r="H152" s="1857" t="s">
        <v>28</v>
      </c>
      <c r="I152" s="1857" t="s">
        <v>1015</v>
      </c>
    </row>
    <row customHeight="1" ht="11.25">
      <c r="A153" s="1857" t="s">
        <v>2399</v>
      </c>
      <c r="B153" s="1857" t="s">
        <v>16</v>
      </c>
      <c r="C153" s="1857" t="s">
        <v>2740</v>
      </c>
      <c r="D153" s="1857" t="s">
        <v>2741</v>
      </c>
      <c r="E153" s="1857" t="s">
        <v>2742</v>
      </c>
      <c r="F153" s="1857" t="s">
        <v>2481</v>
      </c>
      <c r="G153" s="1857" t="s">
        <v>2743</v>
      </c>
      <c r="H153" s="1857" t="s">
        <v>28</v>
      </c>
      <c r="I153" s="1857" t="s">
        <v>1015</v>
      </c>
    </row>
    <row customHeight="1" ht="11.25">
      <c r="A154" s="1857" t="s">
        <v>2399</v>
      </c>
      <c r="B154" s="1857" t="s">
        <v>16</v>
      </c>
      <c r="C154" s="1857" t="s">
        <v>2744</v>
      </c>
      <c r="D154" s="1857" t="s">
        <v>2745</v>
      </c>
      <c r="E154" s="1857" t="s">
        <v>2738</v>
      </c>
      <c r="F154" s="1857" t="s">
        <v>2531</v>
      </c>
      <c r="G154" s="1857" t="s">
        <v>28</v>
      </c>
      <c r="H154" s="1857" t="s">
        <v>28</v>
      </c>
      <c r="I154" s="1857" t="s">
        <v>1015</v>
      </c>
    </row>
    <row customHeight="1" ht="11.25">
      <c r="A155" s="1857" t="s">
        <v>2399</v>
      </c>
      <c r="B155" s="1857" t="s">
        <v>16</v>
      </c>
      <c r="C155" s="1857" t="s">
        <v>2746</v>
      </c>
      <c r="D155" s="1857" t="s">
        <v>2747</v>
      </c>
      <c r="E155" s="1857" t="s">
        <v>2748</v>
      </c>
      <c r="F155" s="1857" t="s">
        <v>2713</v>
      </c>
      <c r="G155" s="1857" t="s">
        <v>28</v>
      </c>
      <c r="H155" s="1857" t="s">
        <v>28</v>
      </c>
      <c r="I155" s="1857" t="s">
        <v>1015</v>
      </c>
    </row>
    <row customHeight="1" ht="11.25">
      <c r="A156" s="1857" t="s">
        <v>2399</v>
      </c>
      <c r="B156" s="1857" t="s">
        <v>16</v>
      </c>
      <c r="C156" s="1857" t="s">
        <v>2749</v>
      </c>
      <c r="D156" s="1857" t="s">
        <v>2750</v>
      </c>
      <c r="E156" s="1857" t="s">
        <v>2751</v>
      </c>
      <c r="F156" s="1857" t="s">
        <v>52</v>
      </c>
      <c r="G156" s="1857" t="s">
        <v>28</v>
      </c>
      <c r="H156" s="1857" t="s">
        <v>28</v>
      </c>
      <c r="I156" s="1857" t="s">
        <v>1015</v>
      </c>
    </row>
    <row customHeight="1" ht="11.25">
      <c r="A157" s="1857" t="s">
        <v>2399</v>
      </c>
      <c r="B157" s="1857" t="s">
        <v>16</v>
      </c>
      <c r="C157" s="1857" t="s">
        <v>2752</v>
      </c>
      <c r="D157" s="1857" t="s">
        <v>2753</v>
      </c>
      <c r="E157" s="1857" t="s">
        <v>2754</v>
      </c>
      <c r="F157" s="1857" t="s">
        <v>52</v>
      </c>
      <c r="G157" s="1857" t="s">
        <v>28</v>
      </c>
      <c r="H157" s="1857" t="s">
        <v>28</v>
      </c>
      <c r="I157" s="1857" t="s">
        <v>1015</v>
      </c>
    </row>
    <row customHeight="1" ht="11.25">
      <c r="A158" s="1857" t="s">
        <v>2399</v>
      </c>
      <c r="B158" s="1857" t="s">
        <v>16</v>
      </c>
      <c r="C158" s="1857" t="s">
        <v>2616</v>
      </c>
      <c r="D158" s="1857" t="s">
        <v>2617</v>
      </c>
      <c r="E158" s="1857" t="s">
        <v>2618</v>
      </c>
      <c r="F158" s="1857" t="s">
        <v>52</v>
      </c>
      <c r="G158" s="1857" t="s">
        <v>28</v>
      </c>
      <c r="H158" s="1857" t="s">
        <v>28</v>
      </c>
      <c r="I158" s="1857" t="s">
        <v>1015</v>
      </c>
    </row>
    <row customHeight="1" ht="11.25">
      <c r="A159" s="1857" t="s">
        <v>2399</v>
      </c>
      <c r="B159" s="1857" t="s">
        <v>16</v>
      </c>
      <c r="C159" s="1857" t="s">
        <v>2755</v>
      </c>
      <c r="D159" s="1857" t="s">
        <v>2756</v>
      </c>
      <c r="E159" s="1857" t="s">
        <v>2757</v>
      </c>
      <c r="F159" s="1857" t="s">
        <v>2567</v>
      </c>
      <c r="G159" s="1857" t="s">
        <v>28</v>
      </c>
      <c r="H159" s="1857" t="s">
        <v>28</v>
      </c>
      <c r="I159" s="1857" t="s">
        <v>1015</v>
      </c>
    </row>
    <row customHeight="1" ht="11.25">
      <c r="A160" s="1857" t="s">
        <v>2399</v>
      </c>
      <c r="B160" s="1857" t="s">
        <v>16</v>
      </c>
      <c r="C160" s="1857" t="s">
        <v>2635</v>
      </c>
      <c r="D160" s="1857" t="s">
        <v>2636</v>
      </c>
      <c r="E160" s="1857" t="s">
        <v>2431</v>
      </c>
      <c r="F160" s="1857" t="s">
        <v>2637</v>
      </c>
      <c r="G160" s="1857" t="s">
        <v>2638</v>
      </c>
      <c r="H160" s="1857" t="s">
        <v>28</v>
      </c>
      <c r="I160" s="1857" t="s">
        <v>1015</v>
      </c>
    </row>
    <row customHeight="1" ht="11.25">
      <c r="A161" s="1857" t="s">
        <v>2399</v>
      </c>
      <c r="B161" s="1857" t="s">
        <v>16</v>
      </c>
      <c r="C161" s="1857" t="s">
        <v>2758</v>
      </c>
      <c r="D161" s="1857" t="s">
        <v>2759</v>
      </c>
      <c r="E161" s="1857" t="s">
        <v>2760</v>
      </c>
      <c r="F161" s="1857" t="s">
        <v>2761</v>
      </c>
      <c r="G161" s="1857" t="s">
        <v>28</v>
      </c>
      <c r="H161" s="1857" t="s">
        <v>28</v>
      </c>
      <c r="I161" s="1857" t="s">
        <v>1015</v>
      </c>
    </row>
    <row customHeight="1" ht="11.25">
      <c r="A162" s="1857" t="s">
        <v>2399</v>
      </c>
      <c r="B162" s="1857" t="s">
        <v>16</v>
      </c>
      <c r="C162" s="1857" t="s">
        <v>2762</v>
      </c>
      <c r="D162" s="1857" t="s">
        <v>2763</v>
      </c>
      <c r="E162" s="1857" t="s">
        <v>2764</v>
      </c>
      <c r="F162" s="1857" t="s">
        <v>2600</v>
      </c>
      <c r="G162" s="1857" t="s">
        <v>28</v>
      </c>
      <c r="H162" s="1857" t="s">
        <v>28</v>
      </c>
      <c r="I162" s="1857" t="s">
        <v>1015</v>
      </c>
    </row>
    <row customHeight="1" ht="11.25">
      <c r="A163" s="1857" t="s">
        <v>2399</v>
      </c>
      <c r="B163" s="1857" t="s">
        <v>16</v>
      </c>
      <c r="C163" s="1857" t="s">
        <v>2639</v>
      </c>
      <c r="D163" s="1857" t="s">
        <v>2640</v>
      </c>
      <c r="E163" s="1857" t="s">
        <v>2641</v>
      </c>
      <c r="F163" s="1857" t="s">
        <v>52</v>
      </c>
      <c r="G163" s="1857" t="s">
        <v>28</v>
      </c>
      <c r="H163" s="1857" t="s">
        <v>28</v>
      </c>
      <c r="I163" s="1857" t="s">
        <v>1015</v>
      </c>
    </row>
    <row customHeight="1" ht="11.25">
      <c r="A164" s="1857" t="s">
        <v>2399</v>
      </c>
      <c r="B164" s="1857" t="s">
        <v>16</v>
      </c>
      <c r="C164" s="1857" t="s">
        <v>2765</v>
      </c>
      <c r="D164" s="1857" t="s">
        <v>2766</v>
      </c>
      <c r="E164" s="1857" t="s">
        <v>2767</v>
      </c>
      <c r="F164" s="1857" t="s">
        <v>2576</v>
      </c>
      <c r="G164" s="1857" t="s">
        <v>28</v>
      </c>
      <c r="H164" s="1857" t="s">
        <v>28</v>
      </c>
      <c r="I164" s="1857" t="s">
        <v>1015</v>
      </c>
    </row>
    <row customHeight="1" ht="11.25">
      <c r="A165" s="1857" t="s">
        <v>2399</v>
      </c>
      <c r="B165" s="1857" t="s">
        <v>16</v>
      </c>
      <c r="C165" s="1857" t="s">
        <v>2768</v>
      </c>
      <c r="D165" s="1857" t="s">
        <v>2769</v>
      </c>
      <c r="E165" s="1857" t="s">
        <v>2770</v>
      </c>
      <c r="F165" s="1857" t="s">
        <v>2419</v>
      </c>
      <c r="G165" s="1857" t="s">
        <v>28</v>
      </c>
      <c r="H165" s="1857" t="s">
        <v>28</v>
      </c>
      <c r="I165" s="1857" t="s">
        <v>1015</v>
      </c>
    </row>
    <row customHeight="1" ht="11.25">
      <c r="A166" s="1857" t="s">
        <v>2399</v>
      </c>
      <c r="B166" s="1857" t="s">
        <v>16</v>
      </c>
      <c r="C166" s="1857" t="s">
        <v>28</v>
      </c>
      <c r="D166" s="1857" t="s">
        <v>2642</v>
      </c>
      <c r="E166" s="1857" t="s">
        <v>2643</v>
      </c>
      <c r="F166" s="1857" t="s">
        <v>52</v>
      </c>
      <c r="G166" s="1857" t="s">
        <v>28</v>
      </c>
      <c r="H166" s="1857" t="s">
        <v>28</v>
      </c>
      <c r="I166" s="1857" t="s">
        <v>1015</v>
      </c>
    </row>
    <row customHeight="1" ht="11.25">
      <c r="A167" s="1857" t="s">
        <v>2399</v>
      </c>
      <c r="B167" s="1857" t="s">
        <v>16</v>
      </c>
      <c r="C167" s="1857" t="s">
        <v>2658</v>
      </c>
      <c r="D167" s="1857" t="s">
        <v>2659</v>
      </c>
      <c r="E167" s="1857" t="s">
        <v>2656</v>
      </c>
      <c r="F167" s="1857" t="s">
        <v>2660</v>
      </c>
      <c r="G167" s="1857" t="s">
        <v>28</v>
      </c>
      <c r="H167" s="1857" t="s">
        <v>28</v>
      </c>
      <c r="I167" s="1857" t="s">
        <v>1015</v>
      </c>
    </row>
    <row customHeight="1" ht="11.25">
      <c r="A168" s="1857" t="s">
        <v>2399</v>
      </c>
      <c r="B168" s="1857" t="s">
        <v>16</v>
      </c>
      <c r="C168" s="1857" t="s">
        <v>2654</v>
      </c>
      <c r="D168" s="1857" t="s">
        <v>2655</v>
      </c>
      <c r="E168" s="1857" t="s">
        <v>2656</v>
      </c>
      <c r="F168" s="1857" t="s">
        <v>2657</v>
      </c>
      <c r="G168" s="1857" t="s">
        <v>28</v>
      </c>
      <c r="H168" s="1857" t="s">
        <v>28</v>
      </c>
      <c r="I168" s="1857" t="s">
        <v>1015</v>
      </c>
    </row>
    <row customHeight="1" ht="11.25">
      <c r="A169" s="1857" t="s">
        <v>2399</v>
      </c>
      <c r="B169" s="1857" t="s">
        <v>16</v>
      </c>
      <c r="C169" s="1857" t="s">
        <v>2661</v>
      </c>
      <c r="D169" s="1857" t="s">
        <v>2430</v>
      </c>
      <c r="E169" s="1857" t="s">
        <v>2431</v>
      </c>
      <c r="F169" s="1857" t="s">
        <v>2662</v>
      </c>
      <c r="G169" s="1857" t="s">
        <v>2663</v>
      </c>
      <c r="H169" s="1857" t="s">
        <v>28</v>
      </c>
      <c r="I169" s="1857" t="s">
        <v>1068</v>
      </c>
    </row>
    <row customHeight="1" ht="11.25">
      <c r="A170" s="1857" t="s">
        <v>2399</v>
      </c>
      <c r="B170" s="1857" t="s">
        <v>16</v>
      </c>
      <c r="C170" s="1857" t="s">
        <v>2429</v>
      </c>
      <c r="D170" s="1857" t="s">
        <v>2430</v>
      </c>
      <c r="E170" s="1857" t="s">
        <v>2431</v>
      </c>
      <c r="F170" s="1857" t="s">
        <v>2432</v>
      </c>
      <c r="G170" s="1857" t="s">
        <v>28</v>
      </c>
      <c r="H170" s="1857" t="s">
        <v>28</v>
      </c>
      <c r="I170" s="1857" t="s">
        <v>1068</v>
      </c>
    </row>
    <row customHeight="1" ht="11.25">
      <c r="A171" s="1857" t="s">
        <v>2399</v>
      </c>
      <c r="B171" s="1857" t="s">
        <v>16</v>
      </c>
      <c r="C171" s="1857" t="s">
        <v>2441</v>
      </c>
      <c r="D171" s="1857" t="s">
        <v>2442</v>
      </c>
      <c r="E171" s="1857" t="s">
        <v>2443</v>
      </c>
      <c r="F171" s="1857" t="s">
        <v>52</v>
      </c>
      <c r="G171" s="1857" t="s">
        <v>28</v>
      </c>
      <c r="H171" s="1857" t="s">
        <v>28</v>
      </c>
      <c r="I171" s="1857" t="s">
        <v>1068</v>
      </c>
    </row>
    <row customHeight="1" ht="11.25">
      <c r="A172" s="1857" t="s">
        <v>2399</v>
      </c>
      <c r="B172" s="1857" t="s">
        <v>16</v>
      </c>
      <c r="C172" s="1857" t="s">
        <v>2461</v>
      </c>
      <c r="D172" s="1857" t="s">
        <v>2462</v>
      </c>
      <c r="E172" s="1857" t="s">
        <v>2463</v>
      </c>
      <c r="F172" s="1857" t="s">
        <v>2464</v>
      </c>
      <c r="G172" s="1857" t="s">
        <v>28</v>
      </c>
      <c r="H172" s="1857" t="s">
        <v>28</v>
      </c>
      <c r="I172" s="1857" t="s">
        <v>1068</v>
      </c>
    </row>
    <row customHeight="1" ht="11.25">
      <c r="A173" s="1857" t="s">
        <v>2399</v>
      </c>
      <c r="B173" s="1857" t="s">
        <v>16</v>
      </c>
      <c r="C173" s="1857" t="s">
        <v>2469</v>
      </c>
      <c r="D173" s="1857" t="s">
        <v>2470</v>
      </c>
      <c r="E173" s="1857" t="s">
        <v>2471</v>
      </c>
      <c r="F173" s="1857" t="s">
        <v>2468</v>
      </c>
      <c r="G173" s="1857" t="s">
        <v>28</v>
      </c>
      <c r="H173" s="1857" t="s">
        <v>28</v>
      </c>
      <c r="I173" s="1857" t="s">
        <v>1068</v>
      </c>
    </row>
    <row customHeight="1" ht="11.25">
      <c r="A174" s="1857" t="s">
        <v>2399</v>
      </c>
      <c r="B174" s="1857" t="s">
        <v>16</v>
      </c>
      <c r="C174" s="1857" t="s">
        <v>2486</v>
      </c>
      <c r="D174" s="1857" t="s">
        <v>2487</v>
      </c>
      <c r="E174" s="1857" t="s">
        <v>2488</v>
      </c>
      <c r="F174" s="1857" t="s">
        <v>2468</v>
      </c>
      <c r="G174" s="1857" t="s">
        <v>28</v>
      </c>
      <c r="H174" s="1857" t="s">
        <v>28</v>
      </c>
      <c r="I174" s="1857" t="s">
        <v>1068</v>
      </c>
    </row>
    <row customHeight="1" ht="11.25">
      <c r="A175" s="1857" t="s">
        <v>2399</v>
      </c>
      <c r="B175" s="1857" t="s">
        <v>16</v>
      </c>
      <c r="C175" s="1857" t="s">
        <v>2668</v>
      </c>
      <c r="D175" s="1857" t="s">
        <v>2669</v>
      </c>
      <c r="E175" s="1857" t="s">
        <v>2670</v>
      </c>
      <c r="F175" s="1857" t="s">
        <v>2419</v>
      </c>
      <c r="G175" s="1857" t="s">
        <v>28</v>
      </c>
      <c r="H175" s="1857" t="s">
        <v>28</v>
      </c>
      <c r="I175" s="1857" t="s">
        <v>1068</v>
      </c>
    </row>
    <row customHeight="1" ht="11.25">
      <c r="A176" s="1857" t="s">
        <v>2399</v>
      </c>
      <c r="B176" s="1857" t="s">
        <v>16</v>
      </c>
      <c r="C176" s="1857" t="s">
        <v>2505</v>
      </c>
      <c r="D176" s="1857" t="s">
        <v>2506</v>
      </c>
      <c r="E176" s="1857" t="s">
        <v>2507</v>
      </c>
      <c r="F176" s="1857" t="s">
        <v>2468</v>
      </c>
      <c r="G176" s="1857" t="s">
        <v>28</v>
      </c>
      <c r="H176" s="1857" t="s">
        <v>28</v>
      </c>
      <c r="I176" s="1857" t="s">
        <v>1068</v>
      </c>
    </row>
    <row customHeight="1" ht="11.25">
      <c r="A177" s="1857" t="s">
        <v>2399</v>
      </c>
      <c r="B177" s="1857" t="s">
        <v>16</v>
      </c>
      <c r="C177" s="1857" t="s">
        <v>2511</v>
      </c>
      <c r="D177" s="1857" t="s">
        <v>2512</v>
      </c>
      <c r="E177" s="1857" t="s">
        <v>2513</v>
      </c>
      <c r="F177" s="1857" t="s">
        <v>2514</v>
      </c>
      <c r="G177" s="1857" t="s">
        <v>28</v>
      </c>
      <c r="H177" s="1857" t="s">
        <v>28</v>
      </c>
      <c r="I177" s="1857" t="s">
        <v>1068</v>
      </c>
    </row>
    <row customHeight="1" ht="11.25">
      <c r="A178" s="1857" t="s">
        <v>2399</v>
      </c>
      <c r="B178" s="1857" t="s">
        <v>16</v>
      </c>
      <c r="C178" s="1857" t="s">
        <v>13</v>
      </c>
      <c r="D178" s="1857" t="s">
        <v>47</v>
      </c>
      <c r="E178" s="1857" t="s">
        <v>50</v>
      </c>
      <c r="F178" s="1857" t="s">
        <v>52</v>
      </c>
      <c r="G178" s="1857" t="s">
        <v>28</v>
      </c>
      <c r="H178" s="1857" t="s">
        <v>28</v>
      </c>
      <c r="I178" s="1857" t="s">
        <v>1068</v>
      </c>
    </row>
    <row customHeight="1" ht="11.25">
      <c r="A179" s="1857" t="s">
        <v>2399</v>
      </c>
      <c r="B179" s="1857" t="s">
        <v>16</v>
      </c>
      <c r="C179" s="1857" t="s">
        <v>2671</v>
      </c>
      <c r="D179" s="1857" t="s">
        <v>2672</v>
      </c>
      <c r="E179" s="1857" t="s">
        <v>2673</v>
      </c>
      <c r="F179" s="1857" t="s">
        <v>2674</v>
      </c>
      <c r="G179" s="1857" t="s">
        <v>28</v>
      </c>
      <c r="H179" s="1857" t="s">
        <v>2675</v>
      </c>
      <c r="I179" s="1857" t="s">
        <v>1068</v>
      </c>
    </row>
    <row customHeight="1" ht="11.25">
      <c r="A180" s="1857" t="s">
        <v>2399</v>
      </c>
      <c r="B180" s="1857" t="s">
        <v>16</v>
      </c>
      <c r="C180" s="1857" t="s">
        <v>2676</v>
      </c>
      <c r="D180" s="1857" t="s">
        <v>2677</v>
      </c>
      <c r="E180" s="1857" t="s">
        <v>2678</v>
      </c>
      <c r="F180" s="1857" t="s">
        <v>2468</v>
      </c>
      <c r="G180" s="1857" t="s">
        <v>28</v>
      </c>
      <c r="H180" s="1857" t="s">
        <v>2679</v>
      </c>
      <c r="I180" s="1857" t="s">
        <v>1068</v>
      </c>
    </row>
    <row customHeight="1" ht="11.25">
      <c r="A181" s="1857" t="s">
        <v>2399</v>
      </c>
      <c r="B181" s="1857" t="s">
        <v>16</v>
      </c>
      <c r="C181" s="1857" t="s">
        <v>2519</v>
      </c>
      <c r="D181" s="1857" t="s">
        <v>2520</v>
      </c>
      <c r="E181" s="1857" t="s">
        <v>2521</v>
      </c>
      <c r="F181" s="1857" t="s">
        <v>2409</v>
      </c>
      <c r="G181" s="1857" t="s">
        <v>28</v>
      </c>
      <c r="H181" s="1857" t="s">
        <v>28</v>
      </c>
      <c r="I181" s="1857" t="s">
        <v>1068</v>
      </c>
    </row>
    <row customHeight="1" ht="11.25">
      <c r="A182" s="1857" t="s">
        <v>2399</v>
      </c>
      <c r="B182" s="1857" t="s">
        <v>16</v>
      </c>
      <c r="C182" s="1857" t="s">
        <v>2680</v>
      </c>
      <c r="D182" s="1857" t="s">
        <v>2681</v>
      </c>
      <c r="E182" s="1857" t="s">
        <v>2682</v>
      </c>
      <c r="F182" s="1857" t="s">
        <v>2403</v>
      </c>
      <c r="G182" s="1857" t="s">
        <v>28</v>
      </c>
      <c r="H182" s="1857" t="s">
        <v>28</v>
      </c>
      <c r="I182" s="1857" t="s">
        <v>1068</v>
      </c>
    </row>
    <row customHeight="1" ht="11.25">
      <c r="A183" s="1857" t="s">
        <v>2399</v>
      </c>
      <c r="B183" s="1857" t="s">
        <v>16</v>
      </c>
      <c r="C183" s="1857" t="s">
        <v>2686</v>
      </c>
      <c r="D183" s="1857" t="s">
        <v>2687</v>
      </c>
      <c r="E183" s="1857" t="s">
        <v>2688</v>
      </c>
      <c r="F183" s="1857" t="s">
        <v>2468</v>
      </c>
      <c r="G183" s="1857" t="s">
        <v>28</v>
      </c>
      <c r="H183" s="1857" t="s">
        <v>28</v>
      </c>
      <c r="I183" s="1857" t="s">
        <v>1068</v>
      </c>
    </row>
    <row customHeight="1" ht="11.25">
      <c r="A184" s="1857" t="s">
        <v>2399</v>
      </c>
      <c r="B184" s="1857" t="s">
        <v>16</v>
      </c>
      <c r="C184" s="1857" t="s">
        <v>2771</v>
      </c>
      <c r="D184" s="1857" t="s">
        <v>2772</v>
      </c>
      <c r="E184" s="1857" t="s">
        <v>2773</v>
      </c>
      <c r="F184" s="1857" t="s">
        <v>2567</v>
      </c>
      <c r="G184" s="1857" t="s">
        <v>28</v>
      </c>
      <c r="H184" s="1857" t="s">
        <v>28</v>
      </c>
      <c r="I184" s="1857" t="s">
        <v>1068</v>
      </c>
    </row>
    <row customHeight="1" ht="11.25">
      <c r="A185" s="1857" t="s">
        <v>2399</v>
      </c>
      <c r="B185" s="1857" t="s">
        <v>16</v>
      </c>
      <c r="C185" s="1857" t="s">
        <v>28</v>
      </c>
      <c r="D185" s="1857" t="s">
        <v>2532</v>
      </c>
      <c r="E185" s="1857" t="s">
        <v>2533</v>
      </c>
      <c r="F185" s="1857" t="s">
        <v>52</v>
      </c>
      <c r="G185" s="1857" t="s">
        <v>28</v>
      </c>
      <c r="H185" s="1857" t="s">
        <v>28</v>
      </c>
      <c r="I185" s="1857" t="s">
        <v>1068</v>
      </c>
    </row>
    <row customHeight="1" ht="11.25">
      <c r="A186" s="1857" t="s">
        <v>2399</v>
      </c>
      <c r="B186" s="1857" t="s">
        <v>16</v>
      </c>
      <c r="C186" s="1857" t="s">
        <v>2696</v>
      </c>
      <c r="D186" s="1857" t="s">
        <v>2697</v>
      </c>
      <c r="E186" s="1857" t="s">
        <v>2698</v>
      </c>
      <c r="F186" s="1857" t="s">
        <v>2485</v>
      </c>
      <c r="G186" s="1857" t="s">
        <v>28</v>
      </c>
      <c r="H186" s="1857" t="s">
        <v>2699</v>
      </c>
      <c r="I186" s="1857" t="s">
        <v>1068</v>
      </c>
    </row>
    <row customHeight="1" ht="11.25">
      <c r="A187" s="1857" t="s">
        <v>2399</v>
      </c>
      <c r="B187" s="1857" t="s">
        <v>16</v>
      </c>
      <c r="C187" s="1857" t="s">
        <v>2555</v>
      </c>
      <c r="D187" s="1857" t="s">
        <v>2556</v>
      </c>
      <c r="E187" s="1857" t="s">
        <v>2557</v>
      </c>
      <c r="F187" s="1857" t="s">
        <v>52</v>
      </c>
      <c r="G187" s="1857" t="s">
        <v>28</v>
      </c>
      <c r="H187" s="1857" t="s">
        <v>28</v>
      </c>
      <c r="I187" s="1857" t="s">
        <v>1068</v>
      </c>
    </row>
    <row customHeight="1" ht="11.25">
      <c r="A188" s="1857" t="s">
        <v>2399</v>
      </c>
      <c r="B188" s="1857" t="s">
        <v>16</v>
      </c>
      <c r="C188" s="1857" t="s">
        <v>2714</v>
      </c>
      <c r="D188" s="1857" t="s">
        <v>2715</v>
      </c>
      <c r="E188" s="1857" t="s">
        <v>2716</v>
      </c>
      <c r="F188" s="1857" t="s">
        <v>2622</v>
      </c>
      <c r="G188" s="1857" t="s">
        <v>28</v>
      </c>
      <c r="H188" s="1857" t="s">
        <v>2717</v>
      </c>
      <c r="I188" s="1857" t="s">
        <v>1068</v>
      </c>
    </row>
    <row customHeight="1" ht="11.25">
      <c r="A189" s="1857" t="s">
        <v>2399</v>
      </c>
      <c r="B189" s="1857" t="s">
        <v>16</v>
      </c>
      <c r="C189" s="1857" t="s">
        <v>2718</v>
      </c>
      <c r="D189" s="1857" t="s">
        <v>2719</v>
      </c>
      <c r="E189" s="1857" t="s">
        <v>2720</v>
      </c>
      <c r="F189" s="1857" t="s">
        <v>2439</v>
      </c>
      <c r="G189" s="1857" t="s">
        <v>28</v>
      </c>
      <c r="H189" s="1857" t="s">
        <v>28</v>
      </c>
      <c r="I189" s="1857" t="s">
        <v>1068</v>
      </c>
    </row>
    <row customHeight="1" ht="11.25">
      <c r="A190" s="1857" t="s">
        <v>2399</v>
      </c>
      <c r="B190" s="1857" t="s">
        <v>16</v>
      </c>
      <c r="C190" s="1857" t="s">
        <v>2721</v>
      </c>
      <c r="D190" s="1857" t="s">
        <v>2722</v>
      </c>
      <c r="E190" s="1857" t="s">
        <v>2723</v>
      </c>
      <c r="F190" s="1857" t="s">
        <v>2424</v>
      </c>
      <c r="G190" s="1857" t="s">
        <v>28</v>
      </c>
      <c r="H190" s="1857" t="s">
        <v>28</v>
      </c>
      <c r="I190" s="1857" t="s">
        <v>1068</v>
      </c>
    </row>
    <row customHeight="1" ht="11.25">
      <c r="A191" s="1857" t="s">
        <v>2399</v>
      </c>
      <c r="B191" s="1857" t="s">
        <v>16</v>
      </c>
      <c r="C191" s="1857" t="s">
        <v>2581</v>
      </c>
      <c r="D191" s="1857" t="s">
        <v>2582</v>
      </c>
      <c r="E191" s="1857" t="s">
        <v>2583</v>
      </c>
      <c r="F191" s="1857" t="s">
        <v>2419</v>
      </c>
      <c r="G191" s="1857" t="s">
        <v>28</v>
      </c>
      <c r="H191" s="1857" t="s">
        <v>28</v>
      </c>
      <c r="I191" s="1857" t="s">
        <v>1068</v>
      </c>
    </row>
    <row customHeight="1" ht="11.25">
      <c r="A192" s="1857" t="s">
        <v>2399</v>
      </c>
      <c r="B192" s="1857" t="s">
        <v>16</v>
      </c>
      <c r="C192" s="1857" t="s">
        <v>2727</v>
      </c>
      <c r="D192" s="1857" t="s">
        <v>2728</v>
      </c>
      <c r="E192" s="1857" t="s">
        <v>2729</v>
      </c>
      <c r="F192" s="1857" t="s">
        <v>2447</v>
      </c>
      <c r="G192" s="1857" t="s">
        <v>28</v>
      </c>
      <c r="H192" s="1857" t="s">
        <v>28</v>
      </c>
      <c r="I192" s="1857" t="s">
        <v>1068</v>
      </c>
    </row>
    <row customHeight="1" ht="11.25">
      <c r="A193" s="1857" t="s">
        <v>2399</v>
      </c>
      <c r="B193" s="1857" t="s">
        <v>16</v>
      </c>
      <c r="C193" s="1857" t="s">
        <v>2590</v>
      </c>
      <c r="D193" s="1857" t="s">
        <v>2591</v>
      </c>
      <c r="E193" s="1857" t="s">
        <v>2592</v>
      </c>
      <c r="F193" s="1857" t="s">
        <v>2468</v>
      </c>
      <c r="G193" s="1857" t="s">
        <v>2593</v>
      </c>
      <c r="H193" s="1857" t="s">
        <v>28</v>
      </c>
      <c r="I193" s="1857" t="s">
        <v>1068</v>
      </c>
    </row>
    <row customHeight="1" ht="11.25">
      <c r="A194" s="1857" t="s">
        <v>2399</v>
      </c>
      <c r="B194" s="1857" t="s">
        <v>16</v>
      </c>
      <c r="C194" s="1857" t="s">
        <v>2774</v>
      </c>
      <c r="D194" s="1857" t="s">
        <v>2775</v>
      </c>
      <c r="E194" s="1857" t="s">
        <v>2776</v>
      </c>
      <c r="F194" s="1857" t="s">
        <v>2622</v>
      </c>
      <c r="G194" s="1857" t="s">
        <v>28</v>
      </c>
      <c r="H194" s="1857" t="s">
        <v>28</v>
      </c>
      <c r="I194" s="1857" t="s">
        <v>1068</v>
      </c>
    </row>
    <row customHeight="1" ht="11.25">
      <c r="A195" s="1857" t="s">
        <v>2399</v>
      </c>
      <c r="B195" s="1857" t="s">
        <v>16</v>
      </c>
      <c r="C195" s="1857" t="s">
        <v>2730</v>
      </c>
      <c r="D195" s="1857" t="s">
        <v>2731</v>
      </c>
      <c r="E195" s="1857" t="s">
        <v>2732</v>
      </c>
      <c r="F195" s="1857" t="s">
        <v>2576</v>
      </c>
      <c r="G195" s="1857" t="s">
        <v>28</v>
      </c>
      <c r="H195" s="1857" t="s">
        <v>28</v>
      </c>
      <c r="I195" s="1857" t="s">
        <v>1068</v>
      </c>
    </row>
    <row customHeight="1" ht="11.25">
      <c r="A196" s="1857" t="s">
        <v>2399</v>
      </c>
      <c r="B196" s="1857" t="s">
        <v>16</v>
      </c>
      <c r="C196" s="1857" t="s">
        <v>2733</v>
      </c>
      <c r="D196" s="1857" t="s">
        <v>2734</v>
      </c>
      <c r="E196" s="1857" t="s">
        <v>2735</v>
      </c>
      <c r="F196" s="1857" t="s">
        <v>52</v>
      </c>
      <c r="G196" s="1857" t="s">
        <v>28</v>
      </c>
      <c r="H196" s="1857" t="s">
        <v>28</v>
      </c>
      <c r="I196" s="1857" t="s">
        <v>1068</v>
      </c>
    </row>
    <row customHeight="1" ht="11.25">
      <c r="A197" s="1857" t="s">
        <v>2399</v>
      </c>
      <c r="B197" s="1857" t="s">
        <v>16</v>
      </c>
      <c r="C197" s="1857" t="s">
        <v>2740</v>
      </c>
      <c r="D197" s="1857" t="s">
        <v>2741</v>
      </c>
      <c r="E197" s="1857" t="s">
        <v>2742</v>
      </c>
      <c r="F197" s="1857" t="s">
        <v>2481</v>
      </c>
      <c r="G197" s="1857" t="s">
        <v>2743</v>
      </c>
      <c r="H197" s="1857" t="s">
        <v>28</v>
      </c>
      <c r="I197" s="1857" t="s">
        <v>1068</v>
      </c>
    </row>
    <row customHeight="1" ht="11.25">
      <c r="A198" s="1857" t="s">
        <v>2399</v>
      </c>
      <c r="B198" s="1857" t="s">
        <v>16</v>
      </c>
      <c r="C198" s="1857" t="s">
        <v>2744</v>
      </c>
      <c r="D198" s="1857" t="s">
        <v>2745</v>
      </c>
      <c r="E198" s="1857" t="s">
        <v>2738</v>
      </c>
      <c r="F198" s="1857" t="s">
        <v>2531</v>
      </c>
      <c r="G198" s="1857" t="s">
        <v>28</v>
      </c>
      <c r="H198" s="1857" t="s">
        <v>28</v>
      </c>
      <c r="I198" s="1857" t="s">
        <v>1068</v>
      </c>
    </row>
    <row customHeight="1" ht="11.25">
      <c r="A199" s="1857" t="s">
        <v>2399</v>
      </c>
      <c r="B199" s="1857" t="s">
        <v>16</v>
      </c>
      <c r="C199" s="1857" t="s">
        <v>2746</v>
      </c>
      <c r="D199" s="1857" t="s">
        <v>2747</v>
      </c>
      <c r="E199" s="1857" t="s">
        <v>2748</v>
      </c>
      <c r="F199" s="1857" t="s">
        <v>2713</v>
      </c>
      <c r="G199" s="1857" t="s">
        <v>28</v>
      </c>
      <c r="H199" s="1857" t="s">
        <v>28</v>
      </c>
      <c r="I199" s="1857" t="s">
        <v>1068</v>
      </c>
    </row>
    <row customHeight="1" ht="11.25">
      <c r="A200" s="1857" t="s">
        <v>2399</v>
      </c>
      <c r="B200" s="1857" t="s">
        <v>16</v>
      </c>
      <c r="C200" s="1857" t="s">
        <v>2752</v>
      </c>
      <c r="D200" s="1857" t="s">
        <v>2753</v>
      </c>
      <c r="E200" s="1857" t="s">
        <v>2754</v>
      </c>
      <c r="F200" s="1857" t="s">
        <v>52</v>
      </c>
      <c r="G200" s="1857" t="s">
        <v>28</v>
      </c>
      <c r="H200" s="1857" t="s">
        <v>28</v>
      </c>
      <c r="I200" s="1857" t="s">
        <v>1068</v>
      </c>
    </row>
    <row customHeight="1" ht="11.25">
      <c r="A201" s="1857" t="s">
        <v>2399</v>
      </c>
      <c r="B201" s="1857" t="s">
        <v>16</v>
      </c>
      <c r="C201" s="1857" t="s">
        <v>2777</v>
      </c>
      <c r="D201" s="1857" t="s">
        <v>2778</v>
      </c>
      <c r="E201" s="1857" t="s">
        <v>2779</v>
      </c>
      <c r="F201" s="1857" t="s">
        <v>2485</v>
      </c>
      <c r="G201" s="1857" t="s">
        <v>28</v>
      </c>
      <c r="H201" s="1857" t="s">
        <v>28</v>
      </c>
      <c r="I201" s="1857" t="s">
        <v>1068</v>
      </c>
    </row>
    <row customHeight="1" ht="11.25">
      <c r="A202" s="1857" t="s">
        <v>2399</v>
      </c>
      <c r="B202" s="1857" t="s">
        <v>16</v>
      </c>
      <c r="C202" s="1857" t="s">
        <v>2755</v>
      </c>
      <c r="D202" s="1857" t="s">
        <v>2756</v>
      </c>
      <c r="E202" s="1857" t="s">
        <v>2757</v>
      </c>
      <c r="F202" s="1857" t="s">
        <v>2567</v>
      </c>
      <c r="G202" s="1857" t="s">
        <v>28</v>
      </c>
      <c r="H202" s="1857" t="s">
        <v>28</v>
      </c>
      <c r="I202" s="1857" t="s">
        <v>1068</v>
      </c>
    </row>
    <row customHeight="1" ht="11.25">
      <c r="A203" s="1857" t="s">
        <v>2399</v>
      </c>
      <c r="B203" s="1857" t="s">
        <v>16</v>
      </c>
      <c r="C203" s="1857" t="s">
        <v>2635</v>
      </c>
      <c r="D203" s="1857" t="s">
        <v>2636</v>
      </c>
      <c r="E203" s="1857" t="s">
        <v>2431</v>
      </c>
      <c r="F203" s="1857" t="s">
        <v>2637</v>
      </c>
      <c r="G203" s="1857" t="s">
        <v>2638</v>
      </c>
      <c r="H203" s="1857" t="s">
        <v>28</v>
      </c>
      <c r="I203" s="1857" t="s">
        <v>1068</v>
      </c>
    </row>
    <row customHeight="1" ht="11.25">
      <c r="A204" s="1857" t="s">
        <v>2399</v>
      </c>
      <c r="B204" s="1857" t="s">
        <v>16</v>
      </c>
      <c r="C204" s="1857" t="s">
        <v>2758</v>
      </c>
      <c r="D204" s="1857" t="s">
        <v>2759</v>
      </c>
      <c r="E204" s="1857" t="s">
        <v>2760</v>
      </c>
      <c r="F204" s="1857" t="s">
        <v>2761</v>
      </c>
      <c r="G204" s="1857" t="s">
        <v>28</v>
      </c>
      <c r="H204" s="1857" t="s">
        <v>28</v>
      </c>
      <c r="I204" s="1857" t="s">
        <v>1068</v>
      </c>
    </row>
    <row customHeight="1" ht="11.25">
      <c r="A205" s="1857" t="s">
        <v>2399</v>
      </c>
      <c r="B205" s="1857" t="s">
        <v>16</v>
      </c>
      <c r="C205" s="1857" t="s">
        <v>2762</v>
      </c>
      <c r="D205" s="1857" t="s">
        <v>2763</v>
      </c>
      <c r="E205" s="1857" t="s">
        <v>2764</v>
      </c>
      <c r="F205" s="1857" t="s">
        <v>2600</v>
      </c>
      <c r="G205" s="1857" t="s">
        <v>28</v>
      </c>
      <c r="H205" s="1857" t="s">
        <v>28</v>
      </c>
      <c r="I205" s="1857" t="s">
        <v>1068</v>
      </c>
    </row>
    <row customHeight="1" ht="11.25">
      <c r="A206" s="1857" t="s">
        <v>2399</v>
      </c>
      <c r="B206" s="1857" t="s">
        <v>16</v>
      </c>
      <c r="C206" s="1857" t="s">
        <v>2639</v>
      </c>
      <c r="D206" s="1857" t="s">
        <v>2640</v>
      </c>
      <c r="E206" s="1857" t="s">
        <v>2641</v>
      </c>
      <c r="F206" s="1857" t="s">
        <v>52</v>
      </c>
      <c r="G206" s="1857" t="s">
        <v>28</v>
      </c>
      <c r="H206" s="1857" t="s">
        <v>28</v>
      </c>
      <c r="I206" s="1857" t="s">
        <v>1068</v>
      </c>
    </row>
    <row customHeight="1" ht="11.25">
      <c r="A207" s="1857" t="s">
        <v>2399</v>
      </c>
      <c r="B207" s="1857" t="s">
        <v>16</v>
      </c>
      <c r="C207" s="1857" t="s">
        <v>2768</v>
      </c>
      <c r="D207" s="1857" t="s">
        <v>2769</v>
      </c>
      <c r="E207" s="1857" t="s">
        <v>2770</v>
      </c>
      <c r="F207" s="1857" t="s">
        <v>2419</v>
      </c>
      <c r="G207" s="1857" t="s">
        <v>28</v>
      </c>
      <c r="H207" s="1857" t="s">
        <v>28</v>
      </c>
      <c r="I207" s="1857" t="s">
        <v>1068</v>
      </c>
    </row>
    <row customHeight="1" ht="11.25">
      <c r="A208" s="1857" t="s">
        <v>2399</v>
      </c>
      <c r="B208" s="1857" t="s">
        <v>16</v>
      </c>
      <c r="C208" s="1857" t="s">
        <v>28</v>
      </c>
      <c r="D208" s="1857" t="s">
        <v>2642</v>
      </c>
      <c r="E208" s="1857" t="s">
        <v>2643</v>
      </c>
      <c r="F208" s="1857" t="s">
        <v>52</v>
      </c>
      <c r="G208" s="1857" t="s">
        <v>28</v>
      </c>
      <c r="H208" s="1857" t="s">
        <v>28</v>
      </c>
      <c r="I208" s="1857" t="s">
        <v>1068</v>
      </c>
    </row>
    <row customHeight="1" ht="11.25">
      <c r="A209" s="1857" t="s">
        <v>2399</v>
      </c>
      <c r="B209" s="1857" t="s">
        <v>16</v>
      </c>
      <c r="C209" s="1857" t="s">
        <v>2654</v>
      </c>
      <c r="D209" s="1857" t="s">
        <v>2655</v>
      </c>
      <c r="E209" s="1857" t="s">
        <v>2656</v>
      </c>
      <c r="F209" s="1857" t="s">
        <v>2657</v>
      </c>
      <c r="G209" s="1857" t="s">
        <v>28</v>
      </c>
      <c r="H209" s="1857" t="s">
        <v>28</v>
      </c>
      <c r="I209" s="1857" t="s">
        <v>1068</v>
      </c>
    </row>
    <row customHeight="1" ht="11.25">
      <c r="A210" s="1857" t="s">
        <v>2399</v>
      </c>
      <c r="B210" s="1857" t="s">
        <v>16</v>
      </c>
      <c r="C210" s="1857" t="s">
        <v>2780</v>
      </c>
      <c r="D210" s="1857" t="s">
        <v>2781</v>
      </c>
      <c r="E210" s="1857" t="s">
        <v>2782</v>
      </c>
      <c r="F210" s="1857" t="s">
        <v>2468</v>
      </c>
      <c r="G210" s="1857" t="s">
        <v>28</v>
      </c>
      <c r="H210" s="1857" t="s">
        <v>28</v>
      </c>
      <c r="I210" s="1857" t="s">
        <v>1772</v>
      </c>
    </row>
    <row customHeight="1" ht="11.25">
      <c r="A211" s="1857" t="s">
        <v>2399</v>
      </c>
      <c r="B211" s="1857" t="s">
        <v>16</v>
      </c>
      <c r="C211" s="1857" t="s">
        <v>2508</v>
      </c>
      <c r="D211" s="1857" t="s">
        <v>2509</v>
      </c>
      <c r="E211" s="1857" t="s">
        <v>2510</v>
      </c>
      <c r="F211" s="1857" t="s">
        <v>52</v>
      </c>
      <c r="G211" s="1857" t="s">
        <v>28</v>
      </c>
      <c r="H211" s="1857" t="s">
        <v>28</v>
      </c>
      <c r="I211" s="1857" t="s">
        <v>1772</v>
      </c>
    </row>
    <row customHeight="1" ht="11.25">
      <c r="A212" s="1857" t="s">
        <v>2399</v>
      </c>
      <c r="B212" s="1857" t="s">
        <v>16</v>
      </c>
      <c r="C212" s="1857" t="s">
        <v>2783</v>
      </c>
      <c r="D212" s="1857" t="s">
        <v>2784</v>
      </c>
      <c r="E212" s="1857" t="s">
        <v>2785</v>
      </c>
      <c r="F212" s="1857" t="s">
        <v>2622</v>
      </c>
      <c r="G212" s="1857" t="s">
        <v>28</v>
      </c>
      <c r="H212" s="1857" t="s">
        <v>28</v>
      </c>
      <c r="I212" s="1857" t="s">
        <v>1772</v>
      </c>
    </row>
    <row customHeight="1" ht="11.25">
      <c r="A213" s="1857" t="s">
        <v>2399</v>
      </c>
      <c r="B213" s="1857" t="s">
        <v>16</v>
      </c>
      <c r="C213" s="1857" t="s">
        <v>2786</v>
      </c>
      <c r="D213" s="1857" t="s">
        <v>2787</v>
      </c>
      <c r="E213" s="1857" t="s">
        <v>2788</v>
      </c>
      <c r="F213" s="1857" t="s">
        <v>2789</v>
      </c>
      <c r="G213" s="1857" t="s">
        <v>28</v>
      </c>
      <c r="H213" s="1857" t="s">
        <v>28</v>
      </c>
      <c r="I213" s="1857" t="s">
        <v>1772</v>
      </c>
    </row>
    <row customHeight="1" ht="11.25">
      <c r="A214" s="1857" t="s">
        <v>2399</v>
      </c>
      <c r="B214" s="1857" t="s">
        <v>16</v>
      </c>
      <c r="C214" s="1857" t="s">
        <v>2790</v>
      </c>
      <c r="D214" s="1857" t="s">
        <v>2791</v>
      </c>
      <c r="E214" s="1857" t="s">
        <v>2792</v>
      </c>
      <c r="F214" s="1857" t="s">
        <v>2468</v>
      </c>
      <c r="G214" s="1857" t="s">
        <v>28</v>
      </c>
      <c r="H214" s="1857" t="s">
        <v>28</v>
      </c>
      <c r="I214" s="1857" t="s">
        <v>1772</v>
      </c>
    </row>
    <row customHeight="1" ht="11.25">
      <c r="A215" s="1857" t="s">
        <v>2399</v>
      </c>
      <c r="B215" s="1857" t="s">
        <v>16</v>
      </c>
      <c r="C215" s="1857" t="s">
        <v>28</v>
      </c>
      <c r="D215" s="1857" t="s">
        <v>2532</v>
      </c>
      <c r="E215" s="1857" t="s">
        <v>2533</v>
      </c>
      <c r="F215" s="1857" t="s">
        <v>52</v>
      </c>
      <c r="G215" s="1857" t="s">
        <v>28</v>
      </c>
      <c r="H215" s="1857" t="s">
        <v>28</v>
      </c>
      <c r="I215" s="1857" t="s">
        <v>1772</v>
      </c>
    </row>
    <row customHeight="1" ht="11.25">
      <c r="A216" s="1857" t="s">
        <v>2399</v>
      </c>
      <c r="B216" s="1857" t="s">
        <v>16</v>
      </c>
      <c r="C216" s="1857" t="s">
        <v>2793</v>
      </c>
      <c r="D216" s="1857" t="s">
        <v>2794</v>
      </c>
      <c r="E216" s="1857" t="s">
        <v>2795</v>
      </c>
      <c r="F216" s="1857" t="s">
        <v>2481</v>
      </c>
      <c r="G216" s="1857" t="s">
        <v>28</v>
      </c>
      <c r="H216" s="1857" t="s">
        <v>2796</v>
      </c>
      <c r="I216" s="1857" t="s">
        <v>1772</v>
      </c>
    </row>
    <row customHeight="1" ht="11.25">
      <c r="A217" s="1857" t="s">
        <v>2399</v>
      </c>
      <c r="B217" s="1857" t="s">
        <v>16</v>
      </c>
      <c r="C217" s="1857" t="s">
        <v>2797</v>
      </c>
      <c r="D217" s="1857" t="s">
        <v>2794</v>
      </c>
      <c r="E217" s="1857" t="s">
        <v>2798</v>
      </c>
      <c r="F217" s="1857" t="s">
        <v>2496</v>
      </c>
      <c r="G217" s="1857" t="s">
        <v>28</v>
      </c>
      <c r="H217" s="1857" t="s">
        <v>2799</v>
      </c>
      <c r="I217" s="1857" t="s">
        <v>1772</v>
      </c>
    </row>
    <row customHeight="1" ht="11.25">
      <c r="A218" s="1857" t="s">
        <v>2399</v>
      </c>
      <c r="B218" s="1857" t="s">
        <v>16</v>
      </c>
      <c r="C218" s="1857" t="s">
        <v>2534</v>
      </c>
      <c r="D218" s="1857" t="s">
        <v>2535</v>
      </c>
      <c r="E218" s="1857" t="s">
        <v>2536</v>
      </c>
      <c r="F218" s="1857" t="s">
        <v>2531</v>
      </c>
      <c r="G218" s="1857" t="s">
        <v>28</v>
      </c>
      <c r="H218" s="1857" t="s">
        <v>28</v>
      </c>
      <c r="I218" s="1857" t="s">
        <v>1772</v>
      </c>
    </row>
    <row customHeight="1" ht="11.25">
      <c r="A219" s="1857" t="s">
        <v>2399</v>
      </c>
      <c r="B219" s="1857" t="s">
        <v>16</v>
      </c>
      <c r="C219" s="1857" t="s">
        <v>2800</v>
      </c>
      <c r="D219" s="1857" t="s">
        <v>2801</v>
      </c>
      <c r="E219" s="1857" t="s">
        <v>2802</v>
      </c>
      <c r="F219" s="1857" t="s">
        <v>2492</v>
      </c>
      <c r="G219" s="1857" t="s">
        <v>28</v>
      </c>
      <c r="H219" s="1857" t="s">
        <v>28</v>
      </c>
      <c r="I219" s="1857" t="s">
        <v>1772</v>
      </c>
    </row>
    <row customHeight="1" ht="11.25">
      <c r="A220" s="1857" t="s">
        <v>2399</v>
      </c>
      <c r="B220" s="1857" t="s">
        <v>16</v>
      </c>
      <c r="C220" s="1857" t="s">
        <v>2696</v>
      </c>
      <c r="D220" s="1857" t="s">
        <v>2697</v>
      </c>
      <c r="E220" s="1857" t="s">
        <v>2698</v>
      </c>
      <c r="F220" s="1857" t="s">
        <v>2485</v>
      </c>
      <c r="G220" s="1857" t="s">
        <v>28</v>
      </c>
      <c r="H220" s="1857" t="s">
        <v>2699</v>
      </c>
      <c r="I220" s="1857" t="s">
        <v>1772</v>
      </c>
    </row>
    <row customHeight="1" ht="11.25">
      <c r="A221" s="1857" t="s">
        <v>2399</v>
      </c>
      <c r="B221" s="1857" t="s">
        <v>16</v>
      </c>
      <c r="C221" s="1857" t="s">
        <v>2803</v>
      </c>
      <c r="D221" s="1857" t="s">
        <v>2804</v>
      </c>
      <c r="E221" s="1857" t="s">
        <v>2805</v>
      </c>
      <c r="F221" s="1857" t="s">
        <v>2713</v>
      </c>
      <c r="G221" s="1857" t="s">
        <v>28</v>
      </c>
      <c r="H221" s="1857" t="s">
        <v>28</v>
      </c>
      <c r="I221" s="1857" t="s">
        <v>1772</v>
      </c>
    </row>
    <row customHeight="1" ht="11.25">
      <c r="A222" s="1857" t="s">
        <v>2399</v>
      </c>
      <c r="B222" s="1857" t="s">
        <v>16</v>
      </c>
      <c r="C222" s="1857" t="s">
        <v>2806</v>
      </c>
      <c r="D222" s="1857" t="s">
        <v>2807</v>
      </c>
      <c r="E222" s="1857" t="s">
        <v>2808</v>
      </c>
      <c r="F222" s="1857" t="s">
        <v>52</v>
      </c>
      <c r="G222" s="1857" t="s">
        <v>28</v>
      </c>
      <c r="H222" s="1857" t="s">
        <v>28</v>
      </c>
      <c r="I222" s="1857" t="s">
        <v>1772</v>
      </c>
    </row>
    <row customHeight="1" ht="11.25">
      <c r="A223" s="1857" t="s">
        <v>2399</v>
      </c>
      <c r="B223" s="1857" t="s">
        <v>16</v>
      </c>
      <c r="C223" s="1857" t="s">
        <v>2809</v>
      </c>
      <c r="D223" s="1857" t="s">
        <v>2810</v>
      </c>
      <c r="E223" s="1857" t="s">
        <v>2811</v>
      </c>
      <c r="F223" s="1857" t="s">
        <v>52</v>
      </c>
      <c r="G223" s="1857" t="s">
        <v>28</v>
      </c>
      <c r="H223" s="1857" t="s">
        <v>28</v>
      </c>
      <c r="I223" s="1857" t="s">
        <v>1772</v>
      </c>
    </row>
    <row customHeight="1" ht="11.25">
      <c r="A224" s="1857" t="s">
        <v>2399</v>
      </c>
      <c r="B224" s="1857" t="s">
        <v>16</v>
      </c>
      <c r="C224" s="1857" t="s">
        <v>2812</v>
      </c>
      <c r="D224" s="1857" t="s">
        <v>2813</v>
      </c>
      <c r="E224" s="1857" t="s">
        <v>2814</v>
      </c>
      <c r="F224" s="1857" t="s">
        <v>2419</v>
      </c>
      <c r="G224" s="1857" t="s">
        <v>28</v>
      </c>
      <c r="H224" s="1857" t="s">
        <v>28</v>
      </c>
      <c r="I224" s="1857" t="s">
        <v>1772</v>
      </c>
    </row>
    <row customHeight="1" ht="11.25">
      <c r="A225" s="1857" t="s">
        <v>2399</v>
      </c>
      <c r="B225" s="1857" t="s">
        <v>16</v>
      </c>
      <c r="C225" s="1857" t="s">
        <v>2815</v>
      </c>
      <c r="D225" s="1857" t="s">
        <v>2816</v>
      </c>
      <c r="E225" s="1857" t="s">
        <v>2817</v>
      </c>
      <c r="F225" s="1857" t="s">
        <v>2580</v>
      </c>
      <c r="G225" s="1857" t="s">
        <v>28</v>
      </c>
      <c r="H225" s="1857" t="s">
        <v>28</v>
      </c>
      <c r="I225" s="1857" t="s">
        <v>1772</v>
      </c>
    </row>
    <row customHeight="1" ht="11.25">
      <c r="A226" s="1857" t="s">
        <v>2399</v>
      </c>
      <c r="B226" s="1857" t="s">
        <v>16</v>
      </c>
      <c r="C226" s="1857" t="s">
        <v>2818</v>
      </c>
      <c r="D226" s="1857" t="s">
        <v>2819</v>
      </c>
      <c r="E226" s="1857" t="s">
        <v>2820</v>
      </c>
      <c r="F226" s="1857" t="s">
        <v>2468</v>
      </c>
      <c r="G226" s="1857" t="s">
        <v>28</v>
      </c>
      <c r="H226" s="1857" t="s">
        <v>28</v>
      </c>
      <c r="I226" s="1857" t="s">
        <v>1772</v>
      </c>
    </row>
    <row customHeight="1" ht="11.25">
      <c r="A227" s="1857" t="s">
        <v>2399</v>
      </c>
      <c r="B227" s="1857" t="s">
        <v>16</v>
      </c>
      <c r="C227" s="1857" t="s">
        <v>2821</v>
      </c>
      <c r="D227" s="1857" t="s">
        <v>2822</v>
      </c>
      <c r="E227" s="1857" t="s">
        <v>2823</v>
      </c>
      <c r="F227" s="1857" t="s">
        <v>2409</v>
      </c>
      <c r="G227" s="1857" t="s">
        <v>28</v>
      </c>
      <c r="H227" s="1857" t="s">
        <v>28</v>
      </c>
      <c r="I227" s="1857" t="s">
        <v>1772</v>
      </c>
    </row>
    <row customHeight="1" ht="11.25">
      <c r="A228" s="1857" t="s">
        <v>2399</v>
      </c>
      <c r="B228" s="1857" t="s">
        <v>16</v>
      </c>
      <c r="C228" s="1857" t="s">
        <v>2749</v>
      </c>
      <c r="D228" s="1857" t="s">
        <v>2750</v>
      </c>
      <c r="E228" s="1857" t="s">
        <v>2751</v>
      </c>
      <c r="F228" s="1857" t="s">
        <v>52</v>
      </c>
      <c r="G228" s="1857" t="s">
        <v>28</v>
      </c>
      <c r="H228" s="1857" t="s">
        <v>28</v>
      </c>
      <c r="I228" s="1857" t="s">
        <v>1772</v>
      </c>
    </row>
    <row customHeight="1" ht="11.25">
      <c r="A229" s="1857" t="s">
        <v>2399</v>
      </c>
      <c r="B229" s="1857" t="s">
        <v>16</v>
      </c>
      <c r="C229" s="1857" t="s">
        <v>2824</v>
      </c>
      <c r="D229" s="1857" t="s">
        <v>2825</v>
      </c>
      <c r="E229" s="1857" t="s">
        <v>2826</v>
      </c>
      <c r="F229" s="1857" t="s">
        <v>52</v>
      </c>
      <c r="G229" s="1857" t="s">
        <v>28</v>
      </c>
      <c r="H229" s="1857" t="s">
        <v>28</v>
      </c>
      <c r="I229" s="1857" t="s">
        <v>1772</v>
      </c>
    </row>
    <row customHeight="1" ht="11.25">
      <c r="A230" s="1857" t="s">
        <v>2399</v>
      </c>
      <c r="B230" s="1857" t="s">
        <v>16</v>
      </c>
      <c r="C230" s="1857" t="s">
        <v>2827</v>
      </c>
      <c r="D230" s="1857" t="s">
        <v>2828</v>
      </c>
      <c r="E230" s="1857" t="s">
        <v>2829</v>
      </c>
      <c r="F230" s="1857" t="s">
        <v>52</v>
      </c>
      <c r="G230" s="1857" t="s">
        <v>28</v>
      </c>
      <c r="H230" s="1857" t="s">
        <v>28</v>
      </c>
      <c r="I230" s="1857" t="s">
        <v>1772</v>
      </c>
    </row>
    <row customHeight="1" ht="11.25">
      <c r="A231" s="1857" t="s">
        <v>2399</v>
      </c>
      <c r="B231" s="1857" t="s">
        <v>16</v>
      </c>
      <c r="C231" s="1857" t="s">
        <v>2830</v>
      </c>
      <c r="D231" s="1857" t="s">
        <v>2831</v>
      </c>
      <c r="E231" s="1857" t="s">
        <v>2832</v>
      </c>
      <c r="F231" s="1857" t="s">
        <v>52</v>
      </c>
      <c r="G231" s="1857" t="s">
        <v>28</v>
      </c>
      <c r="H231" s="1857" t="s">
        <v>28</v>
      </c>
      <c r="I231" s="1857" t="s">
        <v>1772</v>
      </c>
    </row>
    <row customHeight="1" ht="11.25">
      <c r="A232" s="1857" t="s">
        <v>2399</v>
      </c>
      <c r="B232" s="1857" t="s">
        <v>16</v>
      </c>
      <c r="C232" s="1857" t="s">
        <v>2833</v>
      </c>
      <c r="D232" s="1857" t="s">
        <v>2834</v>
      </c>
      <c r="E232" s="1857" t="s">
        <v>2835</v>
      </c>
      <c r="F232" s="1857" t="s">
        <v>52</v>
      </c>
      <c r="G232" s="1857" t="s">
        <v>28</v>
      </c>
      <c r="H232" s="1857" t="s">
        <v>28</v>
      </c>
      <c r="I232" s="1857" t="s">
        <v>1772</v>
      </c>
    </row>
    <row customHeight="1" ht="11.25">
      <c r="A233" s="1857" t="s">
        <v>2399</v>
      </c>
      <c r="B233" s="1857" t="s">
        <v>16</v>
      </c>
      <c r="C233" s="1857" t="s">
        <v>2836</v>
      </c>
      <c r="D233" s="1857" t="s">
        <v>2837</v>
      </c>
      <c r="E233" s="1857" t="s">
        <v>2838</v>
      </c>
      <c r="F233" s="1857" t="s">
        <v>2674</v>
      </c>
      <c r="G233" s="1857" t="s">
        <v>28</v>
      </c>
      <c r="H233" s="1857" t="s">
        <v>28</v>
      </c>
      <c r="I233" s="1857" t="s">
        <v>1772</v>
      </c>
    </row>
    <row customHeight="1" ht="11.25">
      <c r="A234" s="1857" t="s">
        <v>2399</v>
      </c>
      <c r="B234" s="1857" t="s">
        <v>16</v>
      </c>
      <c r="C234" s="1857" t="s">
        <v>2839</v>
      </c>
      <c r="D234" s="1857" t="s">
        <v>2840</v>
      </c>
      <c r="E234" s="1857" t="s">
        <v>2841</v>
      </c>
      <c r="F234" s="1857" t="s">
        <v>52</v>
      </c>
      <c r="G234" s="1857" t="s">
        <v>28</v>
      </c>
      <c r="H234" s="1857" t="s">
        <v>28</v>
      </c>
      <c r="I234" s="1857" t="s">
        <v>1772</v>
      </c>
    </row>
    <row customHeight="1" ht="11.25">
      <c r="A235" s="1857" t="s">
        <v>2399</v>
      </c>
      <c r="B235" s="1857" t="s">
        <v>16</v>
      </c>
      <c r="C235" s="1857" t="s">
        <v>2842</v>
      </c>
      <c r="D235" s="1857" t="s">
        <v>2843</v>
      </c>
      <c r="E235" s="1857" t="s">
        <v>2844</v>
      </c>
      <c r="F235" s="1857" t="s">
        <v>2439</v>
      </c>
      <c r="G235" s="1857" t="s">
        <v>2845</v>
      </c>
      <c r="H235" s="1857" t="s">
        <v>28</v>
      </c>
      <c r="I235" s="1857" t="s">
        <v>1772</v>
      </c>
    </row>
    <row customHeight="1" ht="11.25">
      <c r="A236" s="1857" t="s">
        <v>2399</v>
      </c>
      <c r="B236" s="1857" t="s">
        <v>16</v>
      </c>
      <c r="C236" s="1857" t="s">
        <v>2846</v>
      </c>
      <c r="D236" s="1857" t="s">
        <v>2847</v>
      </c>
      <c r="E236" s="1857" t="s">
        <v>2848</v>
      </c>
      <c r="F236" s="1857" t="s">
        <v>52</v>
      </c>
      <c r="G236" s="1857" t="s">
        <v>28</v>
      </c>
      <c r="H236" s="1857" t="s">
        <v>28</v>
      </c>
      <c r="I236" s="1857" t="s">
        <v>1772</v>
      </c>
    </row>
    <row customHeight="1" ht="11.25">
      <c r="A237" s="1857" t="s">
        <v>2399</v>
      </c>
      <c r="B237" s="1857" t="s">
        <v>16</v>
      </c>
      <c r="C237" s="1857" t="s">
        <v>2849</v>
      </c>
      <c r="D237" s="1857" t="s">
        <v>2850</v>
      </c>
      <c r="E237" s="1857" t="s">
        <v>2851</v>
      </c>
      <c r="F237" s="1857" t="s">
        <v>2419</v>
      </c>
      <c r="G237" s="1857" t="s">
        <v>28</v>
      </c>
      <c r="H237" s="1857" t="s">
        <v>28</v>
      </c>
      <c r="I237" s="1857" t="s">
        <v>1772</v>
      </c>
    </row>
    <row customHeight="1" ht="11.25">
      <c r="A238" s="1857" t="s">
        <v>2399</v>
      </c>
      <c r="B238" s="1857" t="s">
        <v>16</v>
      </c>
      <c r="C238" s="1857" t="s">
        <v>2852</v>
      </c>
      <c r="D238" s="1857" t="s">
        <v>2853</v>
      </c>
      <c r="E238" s="1857" t="s">
        <v>2854</v>
      </c>
      <c r="F238" s="1857" t="s">
        <v>52</v>
      </c>
      <c r="G238" s="1857" t="s">
        <v>28</v>
      </c>
      <c r="H238" s="1857" t="s">
        <v>28</v>
      </c>
      <c r="I238" s="1857" t="s">
        <v>1772</v>
      </c>
    </row>
    <row customHeight="1" ht="11.25">
      <c r="A239" s="1857" t="s">
        <v>2399</v>
      </c>
      <c r="B239" s="1857" t="s">
        <v>16</v>
      </c>
      <c r="C239" s="1857" t="s">
        <v>2855</v>
      </c>
      <c r="D239" s="1857" t="s">
        <v>2856</v>
      </c>
      <c r="E239" s="1857" t="s">
        <v>2857</v>
      </c>
      <c r="F239" s="1857" t="s">
        <v>52</v>
      </c>
      <c r="G239" s="1857" t="s">
        <v>28</v>
      </c>
      <c r="H239" s="1857" t="s">
        <v>28</v>
      </c>
      <c r="I239" s="1857" t="s">
        <v>1772</v>
      </c>
    </row>
    <row customHeight="1" ht="11.25">
      <c r="A240" s="1857" t="s">
        <v>2399</v>
      </c>
      <c r="B240" s="1857" t="s">
        <v>16</v>
      </c>
      <c r="C240" s="1857" t="s">
        <v>2858</v>
      </c>
      <c r="D240" s="1857" t="s">
        <v>2859</v>
      </c>
      <c r="E240" s="1857" t="s">
        <v>2860</v>
      </c>
      <c r="F240" s="1857" t="s">
        <v>52</v>
      </c>
      <c r="G240" s="1857" t="s">
        <v>28</v>
      </c>
      <c r="H240" s="1857" t="s">
        <v>28</v>
      </c>
      <c r="I240" s="1857" t="s">
        <v>1772</v>
      </c>
    </row>
    <row customHeight="1" ht="11.25">
      <c r="A241" s="1857" t="s">
        <v>2399</v>
      </c>
      <c r="B241" s="1857" t="s">
        <v>16</v>
      </c>
      <c r="C241" s="1857" t="s">
        <v>2762</v>
      </c>
      <c r="D241" s="1857" t="s">
        <v>2763</v>
      </c>
      <c r="E241" s="1857" t="s">
        <v>2764</v>
      </c>
      <c r="F241" s="1857" t="s">
        <v>2600</v>
      </c>
      <c r="G241" s="1857" t="s">
        <v>28</v>
      </c>
      <c r="H241" s="1857" t="s">
        <v>28</v>
      </c>
      <c r="I241" s="1857" t="s">
        <v>1772</v>
      </c>
    </row>
    <row customHeight="1" ht="11.25">
      <c r="A242" s="1857" t="s">
        <v>2399</v>
      </c>
      <c r="B242" s="1857" t="s">
        <v>16</v>
      </c>
      <c r="C242" s="1857" t="s">
        <v>28</v>
      </c>
      <c r="D242" s="1857" t="s">
        <v>2642</v>
      </c>
      <c r="E242" s="1857" t="s">
        <v>2643</v>
      </c>
      <c r="F242" s="1857" t="s">
        <v>52</v>
      </c>
      <c r="G242" s="1857" t="s">
        <v>28</v>
      </c>
      <c r="H242" s="1857" t="s">
        <v>28</v>
      </c>
      <c r="I242" s="1857" t="s">
        <v>1772</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1FEE01-66A6-F023-8BDF-E1D89582E12F}" mc:Ignorable="x14ac xr xr2 xr3">
  <sheetPr>
    <tabColor rgb="FFFFCC99"/>
  </sheetPr>
  <dimension ref="A1:G213"/>
  <sheetViews>
    <sheetView topLeftCell="A1" showGridLines="0" workbookViewId="0">
      <selection activeCell="A1" sqref="A1"/>
    </sheetView>
  </sheetViews>
  <sheetFormatPr customHeight="1" defaultRowHeight="11.25"/>
  <cols>
    <col min="1" max="1" style="1857" width="9.140625"/>
  </cols>
  <sheetData>
    <row customHeight="1" ht="11.25">
      <c r="A1" s="380" t="s">
        <v>2861</v>
      </c>
      <c r="B1" s="71" t="s">
        <v>2862</v>
      </c>
      <c r="C1" s="71" t="s">
        <v>2863</v>
      </c>
      <c r="D1" s="71" t="s">
        <v>2864</v>
      </c>
      <c r="E1" s="69" t="s">
        <v>2865</v>
      </c>
      <c r="F1" s="69" t="s">
        <v>2866</v>
      </c>
      <c r="G1" s="69" t="s">
        <v>2867</v>
      </c>
    </row>
    <row customHeight="1" ht="11.25">
      <c r="A2" s="380" t="s">
        <v>16</v>
      </c>
      <c r="B2" s="0" t="s">
        <v>109</v>
      </c>
      <c r="C2" s="0" t="s">
        <v>110</v>
      </c>
      <c r="D2" s="0" t="s">
        <v>109</v>
      </c>
      <c r="E2" s="0" t="s">
        <v>110</v>
      </c>
      <c r="F2" s="0" t="s">
        <v>2868</v>
      </c>
      <c r="G2" s="0" t="s">
        <v>108</v>
      </c>
    </row>
    <row customHeight="1" ht="11.25">
      <c r="A3" s="380" t="s">
        <v>16</v>
      </c>
      <c r="B3" s="0" t="s">
        <v>100</v>
      </c>
      <c r="C3" s="0" t="s">
        <v>101</v>
      </c>
      <c r="D3" s="0" t="s">
        <v>100</v>
      </c>
      <c r="E3" s="0" t="s">
        <v>101</v>
      </c>
      <c r="F3" s="0" t="s">
        <v>2869</v>
      </c>
      <c r="G3" s="0" t="s">
        <v>99</v>
      </c>
    </row>
    <row customHeight="1" ht="11.25">
      <c r="A4" s="380" t="s">
        <v>16</v>
      </c>
      <c r="B4" s="0" t="s">
        <v>100</v>
      </c>
      <c r="C4" s="0" t="s">
        <v>101</v>
      </c>
      <c r="D4" s="0" t="s">
        <v>2870</v>
      </c>
      <c r="E4" s="0" t="s">
        <v>2871</v>
      </c>
      <c r="F4" s="0" t="s">
        <v>2872</v>
      </c>
      <c r="G4" s="0" t="s">
        <v>90</v>
      </c>
    </row>
    <row customHeight="1" ht="11.25">
      <c r="A5" s="380" t="s">
        <v>16</v>
      </c>
      <c r="B5" s="0" t="s">
        <v>100</v>
      </c>
      <c r="C5" s="0" t="s">
        <v>101</v>
      </c>
      <c r="D5" s="0" t="s">
        <v>2873</v>
      </c>
      <c r="E5" s="0" t="s">
        <v>2874</v>
      </c>
      <c r="F5" s="0" t="s">
        <v>2872</v>
      </c>
      <c r="G5" s="0" t="s">
        <v>91</v>
      </c>
    </row>
    <row customHeight="1" ht="11.25">
      <c r="A6" s="380" t="s">
        <v>16</v>
      </c>
      <c r="B6" s="0" t="s">
        <v>100</v>
      </c>
      <c r="C6" s="0" t="s">
        <v>101</v>
      </c>
      <c r="D6" s="0" t="s">
        <v>2875</v>
      </c>
      <c r="E6" s="0" t="s">
        <v>2876</v>
      </c>
      <c r="F6" s="0" t="s">
        <v>2872</v>
      </c>
      <c r="G6" s="0" t="s">
        <v>119</v>
      </c>
    </row>
    <row customHeight="1" ht="11.25">
      <c r="A7" s="380" t="s">
        <v>16</v>
      </c>
      <c r="B7" s="0" t="s">
        <v>100</v>
      </c>
      <c r="C7" s="0" t="s">
        <v>101</v>
      </c>
      <c r="D7" s="0" t="s">
        <v>2877</v>
      </c>
      <c r="E7" s="0" t="s">
        <v>2878</v>
      </c>
      <c r="F7" s="0" t="s">
        <v>2872</v>
      </c>
      <c r="G7" s="0" t="s">
        <v>92</v>
      </c>
    </row>
    <row customHeight="1" ht="11.25">
      <c r="A8" s="380" t="s">
        <v>16</v>
      </c>
      <c r="B8" s="0" t="s">
        <v>100</v>
      </c>
      <c r="C8" s="0" t="s">
        <v>101</v>
      </c>
      <c r="D8" s="0" t="s">
        <v>2879</v>
      </c>
      <c r="E8" s="0" t="s">
        <v>2880</v>
      </c>
      <c r="F8" s="0" t="s">
        <v>2872</v>
      </c>
      <c r="G8" s="0" t="s">
        <v>93</v>
      </c>
    </row>
    <row customHeight="1" ht="11.25">
      <c r="A9" s="380" t="s">
        <v>16</v>
      </c>
      <c r="B9" s="0" t="s">
        <v>100</v>
      </c>
      <c r="C9" s="0" t="s">
        <v>101</v>
      </c>
      <c r="D9" s="0" t="s">
        <v>2881</v>
      </c>
      <c r="E9" s="0" t="s">
        <v>2882</v>
      </c>
      <c r="F9" s="0" t="s">
        <v>2872</v>
      </c>
      <c r="G9" s="0" t="s">
        <v>132</v>
      </c>
    </row>
    <row customHeight="1" ht="11.25">
      <c r="A10" s="380" t="s">
        <v>16</v>
      </c>
      <c r="B10" s="0" t="s">
        <v>100</v>
      </c>
      <c r="C10" s="0" t="s">
        <v>101</v>
      </c>
      <c r="D10" s="0" t="s">
        <v>2883</v>
      </c>
      <c r="E10" s="0" t="s">
        <v>2884</v>
      </c>
      <c r="F10" s="0" t="s">
        <v>2872</v>
      </c>
      <c r="G10" s="0" t="s">
        <v>137</v>
      </c>
    </row>
    <row customHeight="1" ht="11.25">
      <c r="A11" s="380" t="s">
        <v>16</v>
      </c>
      <c r="B11" s="0" t="s">
        <v>100</v>
      </c>
      <c r="C11" s="0" t="s">
        <v>101</v>
      </c>
      <c r="D11" s="0" t="s">
        <v>2885</v>
      </c>
      <c r="E11" s="0" t="s">
        <v>2886</v>
      </c>
      <c r="F11" s="0" t="s">
        <v>2872</v>
      </c>
      <c r="G11" s="0" t="s">
        <v>142</v>
      </c>
    </row>
    <row customHeight="1" ht="11.25">
      <c r="A12" s="380" t="s">
        <v>16</v>
      </c>
      <c r="B12" s="0" t="s">
        <v>100</v>
      </c>
      <c r="C12" s="0" t="s">
        <v>101</v>
      </c>
      <c r="D12" s="0" t="s">
        <v>2887</v>
      </c>
      <c r="E12" s="0" t="s">
        <v>2888</v>
      </c>
      <c r="F12" s="0" t="s">
        <v>2872</v>
      </c>
      <c r="G12" s="0" t="s">
        <v>147</v>
      </c>
    </row>
    <row customHeight="1" ht="11.25">
      <c r="A13" s="380" t="s">
        <v>16</v>
      </c>
      <c r="B13" s="0" t="s">
        <v>100</v>
      </c>
      <c r="C13" s="0" t="s">
        <v>101</v>
      </c>
      <c r="D13" s="0" t="s">
        <v>2889</v>
      </c>
      <c r="E13" s="0" t="s">
        <v>2890</v>
      </c>
      <c r="F13" s="0" t="s">
        <v>2872</v>
      </c>
      <c r="G13" s="0" t="s">
        <v>152</v>
      </c>
    </row>
    <row customHeight="1" ht="11.25">
      <c r="A14" s="380" t="s">
        <v>16</v>
      </c>
      <c r="B14" s="0" t="s">
        <v>100</v>
      </c>
      <c r="C14" s="0" t="s">
        <v>101</v>
      </c>
      <c r="D14" s="0" t="s">
        <v>2891</v>
      </c>
      <c r="E14" s="0" t="s">
        <v>2892</v>
      </c>
      <c r="F14" s="0" t="s">
        <v>2872</v>
      </c>
      <c r="G14" s="0" t="s">
        <v>157</v>
      </c>
    </row>
    <row customHeight="1" ht="11.25">
      <c r="A15" s="380" t="s">
        <v>16</v>
      </c>
      <c r="B15" s="0" t="s">
        <v>100</v>
      </c>
      <c r="C15" s="0" t="s">
        <v>101</v>
      </c>
      <c r="D15" s="0" t="s">
        <v>2893</v>
      </c>
      <c r="E15" s="0" t="s">
        <v>2894</v>
      </c>
      <c r="F15" s="0" t="s">
        <v>2872</v>
      </c>
      <c r="G15" s="0" t="s">
        <v>162</v>
      </c>
    </row>
    <row customHeight="1" ht="11.25">
      <c r="A16" s="380" t="s">
        <v>16</v>
      </c>
      <c r="B16" s="0" t="s">
        <v>100</v>
      </c>
      <c r="C16" s="0" t="s">
        <v>101</v>
      </c>
      <c r="D16" s="0" t="s">
        <v>2895</v>
      </c>
      <c r="E16" s="0" t="s">
        <v>2896</v>
      </c>
      <c r="F16" s="0" t="s">
        <v>2872</v>
      </c>
      <c r="G16" s="0" t="s">
        <v>167</v>
      </c>
    </row>
    <row customHeight="1" ht="11.25">
      <c r="A17" s="380" t="s">
        <v>16</v>
      </c>
      <c r="B17" s="0" t="s">
        <v>100</v>
      </c>
      <c r="C17" s="0" t="s">
        <v>101</v>
      </c>
      <c r="D17" s="0" t="s">
        <v>2897</v>
      </c>
      <c r="E17" s="0" t="s">
        <v>2898</v>
      </c>
      <c r="F17" s="0" t="s">
        <v>2872</v>
      </c>
      <c r="G17" s="0" t="s">
        <v>172</v>
      </c>
    </row>
    <row customHeight="1" ht="11.25">
      <c r="A18" s="380" t="s">
        <v>16</v>
      </c>
      <c r="B18" s="0" t="s">
        <v>100</v>
      </c>
      <c r="C18" s="0" t="s">
        <v>101</v>
      </c>
      <c r="D18" s="0" t="s">
        <v>2899</v>
      </c>
      <c r="E18" s="0" t="s">
        <v>2900</v>
      </c>
      <c r="F18" s="0" t="s">
        <v>2872</v>
      </c>
      <c r="G18" s="0" t="s">
        <v>177</v>
      </c>
    </row>
    <row customHeight="1" ht="11.25">
      <c r="A19" s="380" t="s">
        <v>16</v>
      </c>
      <c r="B19" s="0" t="s">
        <v>100</v>
      </c>
      <c r="C19" s="0" t="s">
        <v>101</v>
      </c>
      <c r="D19" s="0" t="s">
        <v>2901</v>
      </c>
      <c r="E19" s="0" t="s">
        <v>2902</v>
      </c>
      <c r="F19" s="0" t="s">
        <v>2872</v>
      </c>
      <c r="G19" s="0" t="s">
        <v>182</v>
      </c>
    </row>
    <row customHeight="1" ht="11.25">
      <c r="A20" s="380" t="s">
        <v>16</v>
      </c>
      <c r="B20" s="0" t="s">
        <v>100</v>
      </c>
      <c r="C20" s="0" t="s">
        <v>101</v>
      </c>
      <c r="D20" s="0" t="s">
        <v>2903</v>
      </c>
      <c r="E20" s="0" t="s">
        <v>2904</v>
      </c>
      <c r="F20" s="0" t="s">
        <v>2872</v>
      </c>
      <c r="G20" s="0" t="s">
        <v>184</v>
      </c>
    </row>
    <row customHeight="1" ht="11.25">
      <c r="A21" s="380" t="s">
        <v>16</v>
      </c>
      <c r="B21" s="0" t="s">
        <v>100</v>
      </c>
      <c r="C21" s="0" t="s">
        <v>101</v>
      </c>
      <c r="D21" s="0" t="s">
        <v>2905</v>
      </c>
      <c r="E21" s="0" t="s">
        <v>2906</v>
      </c>
      <c r="F21" s="0" t="s">
        <v>2872</v>
      </c>
      <c r="G21" s="0" t="s">
        <v>190</v>
      </c>
    </row>
    <row customHeight="1" ht="11.25">
      <c r="A22" s="380" t="s">
        <v>16</v>
      </c>
      <c r="B22" s="0" t="s">
        <v>100</v>
      </c>
      <c r="C22" s="0" t="s">
        <v>101</v>
      </c>
      <c r="D22" s="0" t="s">
        <v>2907</v>
      </c>
      <c r="E22" s="0" t="s">
        <v>2908</v>
      </c>
      <c r="F22" s="0" t="s">
        <v>2872</v>
      </c>
      <c r="G22" s="0" t="s">
        <v>194</v>
      </c>
    </row>
    <row customHeight="1" ht="11.25">
      <c r="A23" s="380" t="s">
        <v>16</v>
      </c>
      <c r="B23" s="0" t="s">
        <v>100</v>
      </c>
      <c r="C23" s="0" t="s">
        <v>101</v>
      </c>
      <c r="D23" s="0" t="s">
        <v>2909</v>
      </c>
      <c r="E23" s="0" t="s">
        <v>2910</v>
      </c>
      <c r="F23" s="0" t="s">
        <v>2872</v>
      </c>
      <c r="G23" s="0" t="s">
        <v>1693</v>
      </c>
    </row>
    <row customHeight="1" ht="11.25">
      <c r="A24" s="380" t="s">
        <v>16</v>
      </c>
      <c r="B24" s="0" t="s">
        <v>100</v>
      </c>
      <c r="C24" s="0" t="s">
        <v>101</v>
      </c>
      <c r="D24" s="0" t="s">
        <v>2911</v>
      </c>
      <c r="E24" s="0" t="s">
        <v>2912</v>
      </c>
      <c r="F24" s="0" t="s">
        <v>2872</v>
      </c>
      <c r="G24" s="0" t="s">
        <v>1701</v>
      </c>
    </row>
    <row customHeight="1" ht="11.25">
      <c r="A25" s="380" t="s">
        <v>16</v>
      </c>
      <c r="B25" s="0" t="s">
        <v>100</v>
      </c>
      <c r="C25" s="0" t="s">
        <v>101</v>
      </c>
      <c r="D25" s="0" t="s">
        <v>2913</v>
      </c>
      <c r="E25" s="0" t="s">
        <v>2914</v>
      </c>
      <c r="F25" s="0" t="s">
        <v>2915</v>
      </c>
      <c r="G25" s="0" t="s">
        <v>1708</v>
      </c>
    </row>
    <row customHeight="1" ht="11.25">
      <c r="A26" s="380" t="s">
        <v>16</v>
      </c>
      <c r="B26" s="0" t="s">
        <v>100</v>
      </c>
      <c r="C26" s="0" t="s">
        <v>101</v>
      </c>
      <c r="D26" s="0" t="s">
        <v>2916</v>
      </c>
      <c r="E26" s="0" t="s">
        <v>2917</v>
      </c>
      <c r="F26" s="0" t="s">
        <v>2915</v>
      </c>
      <c r="G26" s="0" t="s">
        <v>1712</v>
      </c>
    </row>
    <row customHeight="1" ht="11.25">
      <c r="A27" s="380" t="s">
        <v>16</v>
      </c>
      <c r="B27" s="0" t="s">
        <v>100</v>
      </c>
      <c r="C27" s="0" t="s">
        <v>101</v>
      </c>
      <c r="D27" s="0" t="s">
        <v>2918</v>
      </c>
      <c r="E27" s="0" t="s">
        <v>2919</v>
      </c>
      <c r="F27" s="0" t="s">
        <v>2915</v>
      </c>
      <c r="G27" s="0" t="s">
        <v>1717</v>
      </c>
    </row>
    <row customHeight="1" ht="11.25">
      <c r="A28" s="380" t="s">
        <v>16</v>
      </c>
      <c r="B28" s="0" t="s">
        <v>113</v>
      </c>
      <c r="C28" s="0" t="s">
        <v>114</v>
      </c>
      <c r="D28" s="0" t="s">
        <v>2920</v>
      </c>
      <c r="E28" s="0" t="s">
        <v>2921</v>
      </c>
      <c r="F28" s="0" t="s">
        <v>2872</v>
      </c>
      <c r="G28" s="0" t="s">
        <v>1725</v>
      </c>
    </row>
    <row customHeight="1" ht="11.25">
      <c r="A29" s="380" t="s">
        <v>16</v>
      </c>
      <c r="B29" s="0" t="s">
        <v>113</v>
      </c>
      <c r="C29" s="0" t="s">
        <v>114</v>
      </c>
      <c r="D29" s="0" t="s">
        <v>2922</v>
      </c>
      <c r="E29" s="0" t="s">
        <v>2923</v>
      </c>
      <c r="F29" s="0" t="s">
        <v>2872</v>
      </c>
      <c r="G29" s="0" t="s">
        <v>1727</v>
      </c>
    </row>
    <row customHeight="1" ht="11.25">
      <c r="A30" s="380" t="s">
        <v>16</v>
      </c>
      <c r="B30" s="0" t="s">
        <v>113</v>
      </c>
      <c r="C30" s="0" t="s">
        <v>114</v>
      </c>
      <c r="D30" s="0" t="s">
        <v>2924</v>
      </c>
      <c r="E30" s="0" t="s">
        <v>2925</v>
      </c>
      <c r="F30" s="0" t="s">
        <v>2872</v>
      </c>
      <c r="G30" s="0" t="s">
        <v>1730</v>
      </c>
    </row>
    <row customHeight="1" ht="11.25">
      <c r="A31" s="380" t="s">
        <v>16</v>
      </c>
      <c r="B31" s="0" t="s">
        <v>113</v>
      </c>
      <c r="C31" s="0" t="s">
        <v>114</v>
      </c>
      <c r="D31" s="0" t="s">
        <v>113</v>
      </c>
      <c r="E31" s="0" t="s">
        <v>114</v>
      </c>
      <c r="F31" s="0" t="s">
        <v>2869</v>
      </c>
      <c r="G31" s="0" t="s">
        <v>112</v>
      </c>
    </row>
    <row customHeight="1" ht="11.25">
      <c r="A32" s="380" t="s">
        <v>16</v>
      </c>
      <c r="B32" s="0" t="s">
        <v>113</v>
      </c>
      <c r="C32" s="0" t="s">
        <v>114</v>
      </c>
      <c r="D32" s="0" t="s">
        <v>2926</v>
      </c>
      <c r="E32" s="0" t="s">
        <v>2927</v>
      </c>
      <c r="F32" s="0" t="s">
        <v>2872</v>
      </c>
      <c r="G32" s="0" t="s">
        <v>1737</v>
      </c>
    </row>
    <row customHeight="1" ht="11.25">
      <c r="A33" s="380" t="s">
        <v>16</v>
      </c>
      <c r="B33" s="0" t="s">
        <v>113</v>
      </c>
      <c r="C33" s="0" t="s">
        <v>114</v>
      </c>
      <c r="D33" s="0" t="s">
        <v>2928</v>
      </c>
      <c r="E33" s="0" t="s">
        <v>2929</v>
      </c>
      <c r="F33" s="0" t="s">
        <v>2872</v>
      </c>
      <c r="G33" s="0" t="s">
        <v>1739</v>
      </c>
    </row>
    <row customHeight="1" ht="11.25">
      <c r="A34" s="380" t="s">
        <v>16</v>
      </c>
      <c r="B34" s="0" t="s">
        <v>113</v>
      </c>
      <c r="C34" s="0" t="s">
        <v>114</v>
      </c>
      <c r="D34" s="0" t="s">
        <v>2930</v>
      </c>
      <c r="E34" s="0" t="s">
        <v>2931</v>
      </c>
      <c r="F34" s="0" t="s">
        <v>2872</v>
      </c>
      <c r="G34" s="0" t="s">
        <v>1741</v>
      </c>
    </row>
    <row customHeight="1" ht="11.25">
      <c r="A35" s="380" t="s">
        <v>16</v>
      </c>
      <c r="B35" s="0" t="s">
        <v>113</v>
      </c>
      <c r="C35" s="0" t="s">
        <v>114</v>
      </c>
      <c r="D35" s="0" t="s">
        <v>2932</v>
      </c>
      <c r="E35" s="0" t="s">
        <v>2933</v>
      </c>
      <c r="F35" s="0" t="s">
        <v>2872</v>
      </c>
      <c r="G35" s="0" t="s">
        <v>1746</v>
      </c>
    </row>
    <row customHeight="1" ht="11.25">
      <c r="A36" s="380" t="s">
        <v>16</v>
      </c>
      <c r="B36" s="0" t="s">
        <v>113</v>
      </c>
      <c r="C36" s="0" t="s">
        <v>114</v>
      </c>
      <c r="D36" s="0" t="s">
        <v>2934</v>
      </c>
      <c r="E36" s="0" t="s">
        <v>2935</v>
      </c>
      <c r="F36" s="0" t="s">
        <v>2872</v>
      </c>
      <c r="G36" s="0" t="s">
        <v>1751</v>
      </c>
    </row>
    <row customHeight="1" ht="11.25">
      <c r="A37" s="380" t="s">
        <v>16</v>
      </c>
      <c r="B37" s="0" t="s">
        <v>113</v>
      </c>
      <c r="C37" s="0" t="s">
        <v>114</v>
      </c>
      <c r="D37" s="0" t="s">
        <v>2936</v>
      </c>
      <c r="E37" s="0" t="s">
        <v>2937</v>
      </c>
      <c r="F37" s="0" t="s">
        <v>2872</v>
      </c>
      <c r="G37" s="0" t="s">
        <v>1755</v>
      </c>
    </row>
    <row customHeight="1" ht="11.25">
      <c r="A38" s="380" t="s">
        <v>16</v>
      </c>
      <c r="B38" s="0" t="s">
        <v>113</v>
      </c>
      <c r="C38" s="0" t="s">
        <v>114</v>
      </c>
      <c r="D38" s="0" t="s">
        <v>2938</v>
      </c>
      <c r="E38" s="0" t="s">
        <v>2939</v>
      </c>
      <c r="F38" s="0" t="s">
        <v>2915</v>
      </c>
      <c r="G38" s="0" t="s">
        <v>1763</v>
      </c>
    </row>
    <row customHeight="1" ht="11.25">
      <c r="A39" s="380" t="s">
        <v>16</v>
      </c>
      <c r="B39" s="0" t="s">
        <v>117</v>
      </c>
      <c r="C39" s="0" t="s">
        <v>118</v>
      </c>
      <c r="D39" s="0" t="s">
        <v>117</v>
      </c>
      <c r="E39" s="0" t="s">
        <v>118</v>
      </c>
      <c r="F39" s="0" t="s">
        <v>2868</v>
      </c>
      <c r="G39" s="0" t="s">
        <v>116</v>
      </c>
    </row>
    <row customHeight="1" ht="11.25">
      <c r="A40" s="380" t="s">
        <v>16</v>
      </c>
      <c r="B40" s="0" t="s">
        <v>122</v>
      </c>
      <c r="C40" s="0" t="s">
        <v>123</v>
      </c>
      <c r="D40" s="0" t="s">
        <v>2940</v>
      </c>
      <c r="E40" s="0" t="s">
        <v>2941</v>
      </c>
      <c r="F40" s="0" t="s">
        <v>2872</v>
      </c>
      <c r="G40" s="0" t="s">
        <v>1773</v>
      </c>
    </row>
    <row customHeight="1" ht="11.25">
      <c r="A41" s="380" t="s">
        <v>16</v>
      </c>
      <c r="B41" s="0" t="s">
        <v>122</v>
      </c>
      <c r="C41" s="0" t="s">
        <v>123</v>
      </c>
      <c r="D41" s="0" t="s">
        <v>2942</v>
      </c>
      <c r="E41" s="0" t="s">
        <v>2943</v>
      </c>
      <c r="F41" s="0" t="s">
        <v>2872</v>
      </c>
      <c r="G41" s="0" t="s">
        <v>1777</v>
      </c>
    </row>
    <row customHeight="1" ht="11.25">
      <c r="A42" s="380" t="s">
        <v>16</v>
      </c>
      <c r="B42" s="0" t="s">
        <v>122</v>
      </c>
      <c r="C42" s="0" t="s">
        <v>123</v>
      </c>
      <c r="D42" s="0" t="s">
        <v>122</v>
      </c>
      <c r="E42" s="0" t="s">
        <v>123</v>
      </c>
      <c r="F42" s="0" t="s">
        <v>2869</v>
      </c>
      <c r="G42" s="0" t="s">
        <v>121</v>
      </c>
    </row>
    <row customHeight="1" ht="11.25">
      <c r="A43" s="380" t="s">
        <v>16</v>
      </c>
      <c r="B43" s="0" t="s">
        <v>122</v>
      </c>
      <c r="C43" s="0" t="s">
        <v>123</v>
      </c>
      <c r="D43" s="0" t="s">
        <v>2944</v>
      </c>
      <c r="E43" s="0" t="s">
        <v>2945</v>
      </c>
      <c r="F43" s="0" t="s">
        <v>2872</v>
      </c>
      <c r="G43" s="0" t="s">
        <v>1786</v>
      </c>
    </row>
    <row customHeight="1" ht="11.25">
      <c r="A44" s="380" t="s">
        <v>16</v>
      </c>
      <c r="B44" s="0" t="s">
        <v>122</v>
      </c>
      <c r="C44" s="0" t="s">
        <v>123</v>
      </c>
      <c r="D44" s="0" t="s">
        <v>2946</v>
      </c>
      <c r="E44" s="0" t="s">
        <v>2947</v>
      </c>
      <c r="F44" s="0" t="s">
        <v>2872</v>
      </c>
      <c r="G44" s="0" t="s">
        <v>1795</v>
      </c>
    </row>
    <row customHeight="1" ht="11.25">
      <c r="A45" s="380" t="s">
        <v>16</v>
      </c>
      <c r="B45" s="0" t="s">
        <v>122</v>
      </c>
      <c r="C45" s="0" t="s">
        <v>123</v>
      </c>
      <c r="D45" s="0" t="s">
        <v>2948</v>
      </c>
      <c r="E45" s="0" t="s">
        <v>2949</v>
      </c>
      <c r="F45" s="0" t="s">
        <v>2872</v>
      </c>
      <c r="G45" s="0" t="s">
        <v>1800</v>
      </c>
    </row>
    <row customHeight="1" ht="11.25">
      <c r="A46" s="380" t="s">
        <v>16</v>
      </c>
      <c r="B46" s="0" t="s">
        <v>122</v>
      </c>
      <c r="C46" s="0" t="s">
        <v>123</v>
      </c>
      <c r="D46" s="0" t="s">
        <v>2950</v>
      </c>
      <c r="E46" s="0" t="s">
        <v>2951</v>
      </c>
      <c r="F46" s="0" t="s">
        <v>2872</v>
      </c>
      <c r="G46" s="0" t="s">
        <v>1804</v>
      </c>
    </row>
    <row customHeight="1" ht="11.25">
      <c r="A47" s="380" t="s">
        <v>16</v>
      </c>
      <c r="B47" s="0" t="s">
        <v>122</v>
      </c>
      <c r="C47" s="0" t="s">
        <v>123</v>
      </c>
      <c r="D47" s="0" t="s">
        <v>2952</v>
      </c>
      <c r="E47" s="0" t="s">
        <v>2953</v>
      </c>
      <c r="F47" s="0" t="s">
        <v>2872</v>
      </c>
      <c r="G47" s="0" t="s">
        <v>1810</v>
      </c>
    </row>
    <row customHeight="1" ht="11.25">
      <c r="A48" s="380" t="s">
        <v>16</v>
      </c>
      <c r="B48" s="0" t="s">
        <v>122</v>
      </c>
      <c r="C48" s="0" t="s">
        <v>123</v>
      </c>
      <c r="D48" s="0" t="s">
        <v>2954</v>
      </c>
      <c r="E48" s="0" t="s">
        <v>2955</v>
      </c>
      <c r="F48" s="0" t="s">
        <v>2872</v>
      </c>
      <c r="G48" s="0" t="s">
        <v>1815</v>
      </c>
    </row>
    <row customHeight="1" ht="11.25">
      <c r="A49" s="380" t="s">
        <v>16</v>
      </c>
      <c r="B49" s="0" t="s">
        <v>122</v>
      </c>
      <c r="C49" s="0" t="s">
        <v>123</v>
      </c>
      <c r="D49" s="0" t="s">
        <v>2956</v>
      </c>
      <c r="E49" s="0" t="s">
        <v>2957</v>
      </c>
      <c r="F49" s="0" t="s">
        <v>2872</v>
      </c>
      <c r="G49" s="0" t="s">
        <v>1818</v>
      </c>
    </row>
    <row customHeight="1" ht="11.25">
      <c r="A50" s="380" t="s">
        <v>16</v>
      </c>
      <c r="B50" s="0" t="s">
        <v>122</v>
      </c>
      <c r="C50" s="0" t="s">
        <v>123</v>
      </c>
      <c r="D50" s="0" t="s">
        <v>2958</v>
      </c>
      <c r="E50" s="0" t="s">
        <v>2959</v>
      </c>
      <c r="F50" s="0" t="s">
        <v>2872</v>
      </c>
      <c r="G50" s="0" t="s">
        <v>1821</v>
      </c>
    </row>
    <row customHeight="1" ht="11.25">
      <c r="A51" s="380" t="s">
        <v>16</v>
      </c>
      <c r="B51" s="0" t="s">
        <v>122</v>
      </c>
      <c r="C51" s="0" t="s">
        <v>123</v>
      </c>
      <c r="D51" s="0" t="s">
        <v>2960</v>
      </c>
      <c r="E51" s="0" t="s">
        <v>2961</v>
      </c>
      <c r="F51" s="0" t="s">
        <v>2872</v>
      </c>
      <c r="G51" s="0" t="s">
        <v>1826</v>
      </c>
    </row>
    <row customHeight="1" ht="11.25">
      <c r="A52" s="380" t="s">
        <v>16</v>
      </c>
      <c r="B52" s="0" t="s">
        <v>122</v>
      </c>
      <c r="C52" s="0" t="s">
        <v>123</v>
      </c>
      <c r="D52" s="0" t="s">
        <v>2962</v>
      </c>
      <c r="E52" s="0" t="s">
        <v>2963</v>
      </c>
      <c r="F52" s="0" t="s">
        <v>2915</v>
      </c>
      <c r="G52" s="0" t="s">
        <v>1830</v>
      </c>
    </row>
    <row customHeight="1" ht="11.25">
      <c r="A53" s="380" t="s">
        <v>16</v>
      </c>
      <c r="B53" s="0" t="s">
        <v>126</v>
      </c>
      <c r="C53" s="0" t="s">
        <v>127</v>
      </c>
      <c r="D53" s="0" t="s">
        <v>2964</v>
      </c>
      <c r="E53" s="0" t="s">
        <v>2965</v>
      </c>
      <c r="F53" s="0" t="s">
        <v>2872</v>
      </c>
      <c r="G53" s="0" t="s">
        <v>1832</v>
      </c>
    </row>
    <row customHeight="1" ht="11.25">
      <c r="A54" s="380" t="s">
        <v>16</v>
      </c>
      <c r="B54" s="0" t="s">
        <v>126</v>
      </c>
      <c r="C54" s="0" t="s">
        <v>127</v>
      </c>
      <c r="D54" s="0" t="s">
        <v>126</v>
      </c>
      <c r="E54" s="0" t="s">
        <v>127</v>
      </c>
      <c r="F54" s="0" t="s">
        <v>2869</v>
      </c>
      <c r="G54" s="0" t="s">
        <v>125</v>
      </c>
    </row>
    <row customHeight="1" ht="11.25">
      <c r="A55" s="380" t="s">
        <v>16</v>
      </c>
      <c r="B55" s="0" t="s">
        <v>126</v>
      </c>
      <c r="C55" s="0" t="s">
        <v>127</v>
      </c>
      <c r="D55" s="0" t="s">
        <v>2966</v>
      </c>
      <c r="E55" s="0" t="s">
        <v>2967</v>
      </c>
      <c r="F55" s="0" t="s">
        <v>2872</v>
      </c>
      <c r="G55" s="0" t="s">
        <v>1839</v>
      </c>
    </row>
    <row customHeight="1" ht="11.25">
      <c r="A56" s="380" t="s">
        <v>16</v>
      </c>
      <c r="B56" s="0" t="s">
        <v>126</v>
      </c>
      <c r="C56" s="0" t="s">
        <v>127</v>
      </c>
      <c r="D56" s="0" t="s">
        <v>2968</v>
      </c>
      <c r="E56" s="0" t="s">
        <v>2969</v>
      </c>
      <c r="F56" s="0" t="s">
        <v>2872</v>
      </c>
      <c r="G56" s="0" t="s">
        <v>1842</v>
      </c>
    </row>
    <row customHeight="1" ht="11.25">
      <c r="A57" s="380" t="s">
        <v>16</v>
      </c>
      <c r="B57" s="0" t="s">
        <v>126</v>
      </c>
      <c r="C57" s="0" t="s">
        <v>127</v>
      </c>
      <c r="D57" s="0" t="s">
        <v>2970</v>
      </c>
      <c r="E57" s="0" t="s">
        <v>2971</v>
      </c>
      <c r="F57" s="0" t="s">
        <v>2872</v>
      </c>
      <c r="G57" s="0" t="s">
        <v>1845</v>
      </c>
    </row>
    <row customHeight="1" ht="11.25">
      <c r="A58" s="380" t="s">
        <v>16</v>
      </c>
      <c r="B58" s="0" t="s">
        <v>126</v>
      </c>
      <c r="C58" s="0" t="s">
        <v>127</v>
      </c>
      <c r="D58" s="0" t="s">
        <v>2972</v>
      </c>
      <c r="E58" s="0" t="s">
        <v>2973</v>
      </c>
      <c r="F58" s="0" t="s">
        <v>2872</v>
      </c>
      <c r="G58" s="0" t="s">
        <v>1848</v>
      </c>
    </row>
    <row customHeight="1" ht="11.25">
      <c r="A59" s="380" t="s">
        <v>16</v>
      </c>
      <c r="B59" s="0" t="s">
        <v>126</v>
      </c>
      <c r="C59" s="0" t="s">
        <v>127</v>
      </c>
      <c r="D59" s="0" t="s">
        <v>2974</v>
      </c>
      <c r="E59" s="0" t="s">
        <v>2975</v>
      </c>
      <c r="F59" s="0" t="s">
        <v>2872</v>
      </c>
      <c r="G59" s="0" t="s">
        <v>1852</v>
      </c>
    </row>
    <row customHeight="1" ht="11.25">
      <c r="A60" s="380" t="s">
        <v>16</v>
      </c>
      <c r="B60" s="0" t="s">
        <v>126</v>
      </c>
      <c r="C60" s="0" t="s">
        <v>127</v>
      </c>
      <c r="D60" s="0" t="s">
        <v>2976</v>
      </c>
      <c r="E60" s="0" t="s">
        <v>2977</v>
      </c>
      <c r="F60" s="0" t="s">
        <v>2915</v>
      </c>
      <c r="G60" s="0" t="s">
        <v>1855</v>
      </c>
    </row>
    <row customHeight="1" ht="11.25">
      <c r="A61" s="380" t="s">
        <v>16</v>
      </c>
      <c r="B61" s="0" t="s">
        <v>126</v>
      </c>
      <c r="C61" s="0" t="s">
        <v>127</v>
      </c>
      <c r="D61" s="0" t="s">
        <v>2978</v>
      </c>
      <c r="E61" s="0" t="s">
        <v>2979</v>
      </c>
      <c r="F61" s="0" t="s">
        <v>2872</v>
      </c>
      <c r="G61" s="0" t="s">
        <v>2980</v>
      </c>
    </row>
    <row customHeight="1" ht="11.25">
      <c r="A62" s="380" t="s">
        <v>16</v>
      </c>
      <c r="B62" s="0" t="s">
        <v>126</v>
      </c>
      <c r="C62" s="0" t="s">
        <v>127</v>
      </c>
      <c r="D62" s="0" t="s">
        <v>2981</v>
      </c>
      <c r="E62" s="0" t="s">
        <v>2982</v>
      </c>
      <c r="F62" s="0" t="s">
        <v>2872</v>
      </c>
      <c r="G62" s="0" t="s">
        <v>2983</v>
      </c>
    </row>
    <row customHeight="1" ht="11.25">
      <c r="A63" s="380" t="s">
        <v>16</v>
      </c>
      <c r="B63" s="0" t="s">
        <v>126</v>
      </c>
      <c r="C63" s="0" t="s">
        <v>127</v>
      </c>
      <c r="D63" s="0" t="s">
        <v>2984</v>
      </c>
      <c r="E63" s="0" t="s">
        <v>2985</v>
      </c>
      <c r="F63" s="0" t="s">
        <v>2872</v>
      </c>
      <c r="G63" s="0" t="s">
        <v>2986</v>
      </c>
    </row>
    <row customHeight="1" ht="11.25">
      <c r="A64" s="380" t="s">
        <v>16</v>
      </c>
      <c r="B64" s="0" t="s">
        <v>126</v>
      </c>
      <c r="C64" s="0" t="s">
        <v>127</v>
      </c>
      <c r="D64" s="0" t="s">
        <v>2987</v>
      </c>
      <c r="E64" s="0" t="s">
        <v>2988</v>
      </c>
      <c r="F64" s="0" t="s">
        <v>2872</v>
      </c>
      <c r="G64" s="0" t="s">
        <v>2989</v>
      </c>
    </row>
    <row customHeight="1" ht="11.25">
      <c r="A65" s="380" t="s">
        <v>16</v>
      </c>
      <c r="B65" s="0" t="s">
        <v>126</v>
      </c>
      <c r="C65" s="0" t="s">
        <v>127</v>
      </c>
      <c r="D65" s="0" t="s">
        <v>2990</v>
      </c>
      <c r="E65" s="0" t="s">
        <v>2991</v>
      </c>
      <c r="F65" s="0" t="s">
        <v>2872</v>
      </c>
      <c r="G65" s="0" t="s">
        <v>2992</v>
      </c>
    </row>
    <row customHeight="1" ht="11.25">
      <c r="A66" s="380" t="s">
        <v>16</v>
      </c>
      <c r="B66" s="0" t="s">
        <v>126</v>
      </c>
      <c r="C66" s="0" t="s">
        <v>127</v>
      </c>
      <c r="D66" s="0" t="s">
        <v>2993</v>
      </c>
      <c r="E66" s="0" t="s">
        <v>2994</v>
      </c>
      <c r="F66" s="0" t="s">
        <v>2872</v>
      </c>
      <c r="G66" s="0" t="s">
        <v>2995</v>
      </c>
    </row>
    <row customHeight="1" ht="11.25">
      <c r="A67" s="380" t="s">
        <v>16</v>
      </c>
      <c r="B67" s="0" t="s">
        <v>126</v>
      </c>
      <c r="C67" s="0" t="s">
        <v>127</v>
      </c>
      <c r="D67" s="0" t="s">
        <v>2996</v>
      </c>
      <c r="E67" s="0" t="s">
        <v>2997</v>
      </c>
      <c r="F67" s="0" t="s">
        <v>2915</v>
      </c>
      <c r="G67" s="0" t="s">
        <v>2173</v>
      </c>
    </row>
    <row customHeight="1" ht="11.25">
      <c r="A68" s="380" t="s">
        <v>16</v>
      </c>
      <c r="B68" s="0" t="s">
        <v>130</v>
      </c>
      <c r="C68" s="0" t="s">
        <v>131</v>
      </c>
      <c r="D68" s="0" t="s">
        <v>130</v>
      </c>
      <c r="E68" s="0" t="s">
        <v>131</v>
      </c>
      <c r="F68" s="0" t="s">
        <v>2868</v>
      </c>
      <c r="G68" s="0" t="s">
        <v>129</v>
      </c>
    </row>
    <row customHeight="1" ht="11.25">
      <c r="A69" s="380" t="s">
        <v>16</v>
      </c>
      <c r="B69" s="0" t="s">
        <v>2998</v>
      </c>
      <c r="C69" s="0" t="s">
        <v>2999</v>
      </c>
      <c r="D69" s="0" t="s">
        <v>2998</v>
      </c>
      <c r="E69" s="0" t="s">
        <v>2999</v>
      </c>
      <c r="F69" s="0" t="s">
        <v>2868</v>
      </c>
      <c r="G69" s="0" t="s">
        <v>2376</v>
      </c>
    </row>
    <row customHeight="1" ht="11.25">
      <c r="A70" s="380" t="s">
        <v>16</v>
      </c>
      <c r="B70" s="0" t="s">
        <v>135</v>
      </c>
      <c r="C70" s="0" t="s">
        <v>136</v>
      </c>
      <c r="D70" s="0" t="s">
        <v>3000</v>
      </c>
      <c r="E70" s="0" t="s">
        <v>3001</v>
      </c>
      <c r="F70" s="0" t="s">
        <v>2872</v>
      </c>
      <c r="G70" s="0" t="s">
        <v>3002</v>
      </c>
    </row>
    <row customHeight="1" ht="11.25">
      <c r="A71" s="380" t="s">
        <v>16</v>
      </c>
      <c r="B71" s="0" t="s">
        <v>135</v>
      </c>
      <c r="C71" s="0" t="s">
        <v>136</v>
      </c>
      <c r="D71" s="0" t="s">
        <v>3003</v>
      </c>
      <c r="E71" s="0" t="s">
        <v>3004</v>
      </c>
      <c r="F71" s="0" t="s">
        <v>2872</v>
      </c>
      <c r="G71" s="0" t="s">
        <v>3005</v>
      </c>
    </row>
    <row customHeight="1" ht="11.25">
      <c r="A72" s="380" t="s">
        <v>16</v>
      </c>
      <c r="B72" s="0" t="s">
        <v>135</v>
      </c>
      <c r="C72" s="0" t="s">
        <v>136</v>
      </c>
      <c r="D72" s="0" t="s">
        <v>3006</v>
      </c>
      <c r="E72" s="0" t="s">
        <v>3007</v>
      </c>
      <c r="F72" s="0" t="s">
        <v>2872</v>
      </c>
      <c r="G72" s="0" t="s">
        <v>3008</v>
      </c>
    </row>
    <row customHeight="1" ht="11.25">
      <c r="A73" s="380" t="s">
        <v>16</v>
      </c>
      <c r="B73" s="0" t="s">
        <v>135</v>
      </c>
      <c r="C73" s="0" t="s">
        <v>136</v>
      </c>
      <c r="D73" s="0" t="s">
        <v>3009</v>
      </c>
      <c r="E73" s="0" t="s">
        <v>3010</v>
      </c>
      <c r="F73" s="0" t="s">
        <v>2872</v>
      </c>
      <c r="G73" s="0" t="s">
        <v>3011</v>
      </c>
    </row>
    <row customHeight="1" ht="11.25">
      <c r="A74" s="380" t="s">
        <v>16</v>
      </c>
      <c r="B74" s="0" t="s">
        <v>135</v>
      </c>
      <c r="C74" s="0" t="s">
        <v>136</v>
      </c>
      <c r="D74" s="0" t="s">
        <v>3012</v>
      </c>
      <c r="E74" s="0" t="s">
        <v>3013</v>
      </c>
      <c r="F74" s="0" t="s">
        <v>2872</v>
      </c>
      <c r="G74" s="0" t="s">
        <v>3014</v>
      </c>
    </row>
    <row customHeight="1" ht="11.25">
      <c r="A75" s="380" t="s">
        <v>16</v>
      </c>
      <c r="B75" s="0" t="s">
        <v>135</v>
      </c>
      <c r="C75" s="0" t="s">
        <v>136</v>
      </c>
      <c r="D75" s="0" t="s">
        <v>135</v>
      </c>
      <c r="E75" s="0" t="s">
        <v>136</v>
      </c>
      <c r="F75" s="0" t="s">
        <v>2869</v>
      </c>
      <c r="G75" s="0" t="s">
        <v>134</v>
      </c>
    </row>
    <row customHeight="1" ht="11.25">
      <c r="A76" s="380" t="s">
        <v>16</v>
      </c>
      <c r="B76" s="0" t="s">
        <v>135</v>
      </c>
      <c r="C76" s="0" t="s">
        <v>136</v>
      </c>
      <c r="D76" s="0" t="s">
        <v>3015</v>
      </c>
      <c r="E76" s="0" t="s">
        <v>3016</v>
      </c>
      <c r="F76" s="0" t="s">
        <v>2872</v>
      </c>
      <c r="G76" s="0" t="s">
        <v>3017</v>
      </c>
    </row>
    <row customHeight="1" ht="11.25">
      <c r="A77" s="380" t="s">
        <v>16</v>
      </c>
      <c r="B77" s="0" t="s">
        <v>135</v>
      </c>
      <c r="C77" s="0" t="s">
        <v>136</v>
      </c>
      <c r="D77" s="0" t="s">
        <v>3018</v>
      </c>
      <c r="E77" s="0" t="s">
        <v>3019</v>
      </c>
      <c r="F77" s="0" t="s">
        <v>2872</v>
      </c>
      <c r="G77" s="0" t="s">
        <v>3020</v>
      </c>
    </row>
    <row customHeight="1" ht="11.25">
      <c r="A78" s="380" t="s">
        <v>16</v>
      </c>
      <c r="B78" s="0" t="s">
        <v>135</v>
      </c>
      <c r="C78" s="0" t="s">
        <v>136</v>
      </c>
      <c r="D78" s="0" t="s">
        <v>3021</v>
      </c>
      <c r="E78" s="0" t="s">
        <v>3022</v>
      </c>
      <c r="F78" s="0" t="s">
        <v>2872</v>
      </c>
      <c r="G78" s="0" t="s">
        <v>3023</v>
      </c>
    </row>
    <row customHeight="1" ht="11.25">
      <c r="A79" s="380" t="s">
        <v>16</v>
      </c>
      <c r="B79" s="0" t="s">
        <v>135</v>
      </c>
      <c r="C79" s="0" t="s">
        <v>136</v>
      </c>
      <c r="D79" s="0" t="s">
        <v>2974</v>
      </c>
      <c r="E79" s="0" t="s">
        <v>3024</v>
      </c>
      <c r="F79" s="0" t="s">
        <v>2872</v>
      </c>
      <c r="G79" s="0" t="s">
        <v>3025</v>
      </c>
    </row>
    <row customHeight="1" ht="11.25">
      <c r="A80" s="380" t="s">
        <v>16</v>
      </c>
      <c r="B80" s="0" t="s">
        <v>135</v>
      </c>
      <c r="C80" s="0" t="s">
        <v>136</v>
      </c>
      <c r="D80" s="0" t="s">
        <v>3026</v>
      </c>
      <c r="E80" s="0" t="s">
        <v>3027</v>
      </c>
      <c r="F80" s="0" t="s">
        <v>2872</v>
      </c>
      <c r="G80" s="0" t="s">
        <v>3028</v>
      </c>
    </row>
    <row customHeight="1" ht="11.25">
      <c r="A81" s="380" t="s">
        <v>16</v>
      </c>
      <c r="B81" s="0" t="s">
        <v>135</v>
      </c>
      <c r="C81" s="0" t="s">
        <v>136</v>
      </c>
      <c r="D81" s="0" t="s">
        <v>3029</v>
      </c>
      <c r="E81" s="0" t="s">
        <v>3030</v>
      </c>
      <c r="F81" s="0" t="s">
        <v>2872</v>
      </c>
      <c r="G81" s="0" t="s">
        <v>3031</v>
      </c>
    </row>
    <row customHeight="1" ht="11.25">
      <c r="A82" s="380" t="s">
        <v>16</v>
      </c>
      <c r="B82" s="0" t="s">
        <v>135</v>
      </c>
      <c r="C82" s="0" t="s">
        <v>136</v>
      </c>
      <c r="D82" s="0" t="s">
        <v>3032</v>
      </c>
      <c r="E82" s="0" t="s">
        <v>3033</v>
      </c>
      <c r="F82" s="0" t="s">
        <v>2872</v>
      </c>
      <c r="G82" s="0" t="s">
        <v>3034</v>
      </c>
    </row>
    <row customHeight="1" ht="11.25">
      <c r="A83" s="380" t="s">
        <v>16</v>
      </c>
      <c r="B83" s="0" t="s">
        <v>135</v>
      </c>
      <c r="C83" s="0" t="s">
        <v>136</v>
      </c>
      <c r="D83" s="0" t="s">
        <v>3035</v>
      </c>
      <c r="E83" s="0" t="s">
        <v>3036</v>
      </c>
      <c r="F83" s="0" t="s">
        <v>2872</v>
      </c>
      <c r="G83" s="0" t="s">
        <v>3037</v>
      </c>
    </row>
    <row customHeight="1" ht="11.25">
      <c r="A84" s="380" t="s">
        <v>16</v>
      </c>
      <c r="B84" s="0" t="s">
        <v>135</v>
      </c>
      <c r="C84" s="0" t="s">
        <v>136</v>
      </c>
      <c r="D84" s="0" t="s">
        <v>3038</v>
      </c>
      <c r="E84" s="0" t="s">
        <v>3039</v>
      </c>
      <c r="F84" s="0" t="s">
        <v>2872</v>
      </c>
      <c r="G84" s="0" t="s">
        <v>3040</v>
      </c>
    </row>
    <row customHeight="1" ht="11.25">
      <c r="A85" s="380" t="s">
        <v>16</v>
      </c>
      <c r="B85" s="0" t="s">
        <v>135</v>
      </c>
      <c r="C85" s="0" t="s">
        <v>136</v>
      </c>
      <c r="D85" s="0" t="s">
        <v>3041</v>
      </c>
      <c r="E85" s="0" t="s">
        <v>3042</v>
      </c>
      <c r="F85" s="0" t="s">
        <v>2915</v>
      </c>
      <c r="G85" s="0" t="s">
        <v>3043</v>
      </c>
    </row>
    <row customHeight="1" ht="11.25">
      <c r="A86" s="380" t="s">
        <v>16</v>
      </c>
      <c r="B86" s="0" t="s">
        <v>140</v>
      </c>
      <c r="C86" s="0" t="s">
        <v>141</v>
      </c>
      <c r="D86" s="0" t="s">
        <v>3044</v>
      </c>
      <c r="E86" s="0" t="s">
        <v>3045</v>
      </c>
      <c r="F86" s="0" t="s">
        <v>2872</v>
      </c>
      <c r="G86" s="0" t="s">
        <v>3046</v>
      </c>
    </row>
    <row customHeight="1" ht="11.25">
      <c r="A87" s="380" t="s">
        <v>16</v>
      </c>
      <c r="B87" s="0" t="s">
        <v>140</v>
      </c>
      <c r="C87" s="0" t="s">
        <v>141</v>
      </c>
      <c r="D87" s="0" t="s">
        <v>3047</v>
      </c>
      <c r="E87" s="0" t="s">
        <v>3048</v>
      </c>
      <c r="F87" s="0" t="s">
        <v>2872</v>
      </c>
      <c r="G87" s="0" t="s">
        <v>3049</v>
      </c>
    </row>
    <row customHeight="1" ht="11.25">
      <c r="A88" s="380" t="s">
        <v>16</v>
      </c>
      <c r="B88" s="0" t="s">
        <v>140</v>
      </c>
      <c r="C88" s="0" t="s">
        <v>141</v>
      </c>
      <c r="D88" s="0" t="s">
        <v>3050</v>
      </c>
      <c r="E88" s="0" t="s">
        <v>3051</v>
      </c>
      <c r="F88" s="0" t="s">
        <v>2872</v>
      </c>
      <c r="G88" s="0" t="s">
        <v>3052</v>
      </c>
    </row>
    <row customHeight="1" ht="11.25">
      <c r="A89" s="380" t="s">
        <v>16</v>
      </c>
      <c r="B89" s="0" t="s">
        <v>140</v>
      </c>
      <c r="C89" s="0" t="s">
        <v>141</v>
      </c>
      <c r="D89" s="0" t="s">
        <v>3053</v>
      </c>
      <c r="E89" s="0" t="s">
        <v>3054</v>
      </c>
      <c r="F89" s="0" t="s">
        <v>2872</v>
      </c>
      <c r="G89" s="0" t="s">
        <v>3055</v>
      </c>
    </row>
    <row customHeight="1" ht="11.25">
      <c r="A90" s="380" t="s">
        <v>16</v>
      </c>
      <c r="B90" s="0" t="s">
        <v>140</v>
      </c>
      <c r="C90" s="0" t="s">
        <v>141</v>
      </c>
      <c r="D90" s="0" t="s">
        <v>3056</v>
      </c>
      <c r="E90" s="0" t="s">
        <v>3057</v>
      </c>
      <c r="F90" s="0" t="s">
        <v>2872</v>
      </c>
      <c r="G90" s="0" t="s">
        <v>3058</v>
      </c>
    </row>
    <row customHeight="1" ht="11.25">
      <c r="A91" s="380" t="s">
        <v>16</v>
      </c>
      <c r="B91" s="0" t="s">
        <v>140</v>
      </c>
      <c r="C91" s="0" t="s">
        <v>141</v>
      </c>
      <c r="D91" s="0" t="s">
        <v>3059</v>
      </c>
      <c r="E91" s="0" t="s">
        <v>3060</v>
      </c>
      <c r="F91" s="0" t="s">
        <v>2872</v>
      </c>
      <c r="G91" s="0" t="s">
        <v>3061</v>
      </c>
    </row>
    <row customHeight="1" ht="11.25">
      <c r="A92" s="380" t="s">
        <v>16</v>
      </c>
      <c r="B92" s="0" t="s">
        <v>140</v>
      </c>
      <c r="C92" s="0" t="s">
        <v>141</v>
      </c>
      <c r="D92" s="0" t="s">
        <v>3062</v>
      </c>
      <c r="E92" s="0" t="s">
        <v>3063</v>
      </c>
      <c r="F92" s="0" t="s">
        <v>2872</v>
      </c>
      <c r="G92" s="0" t="s">
        <v>3064</v>
      </c>
    </row>
    <row customHeight="1" ht="11.25">
      <c r="A93" s="380" t="s">
        <v>16</v>
      </c>
      <c r="B93" s="0" t="s">
        <v>140</v>
      </c>
      <c r="C93" s="0" t="s">
        <v>141</v>
      </c>
      <c r="D93" s="0" t="s">
        <v>3065</v>
      </c>
      <c r="E93" s="0" t="s">
        <v>3066</v>
      </c>
      <c r="F93" s="0" t="s">
        <v>2872</v>
      </c>
      <c r="G93" s="0" t="s">
        <v>3067</v>
      </c>
    </row>
    <row customHeight="1" ht="11.25">
      <c r="A94" s="380" t="s">
        <v>16</v>
      </c>
      <c r="B94" s="0" t="s">
        <v>140</v>
      </c>
      <c r="C94" s="0" t="s">
        <v>141</v>
      </c>
      <c r="D94" s="0" t="s">
        <v>3068</v>
      </c>
      <c r="E94" s="0" t="s">
        <v>3069</v>
      </c>
      <c r="F94" s="0" t="s">
        <v>2872</v>
      </c>
      <c r="G94" s="0" t="s">
        <v>3070</v>
      </c>
    </row>
    <row customHeight="1" ht="11.25">
      <c r="A95" s="380" t="s">
        <v>16</v>
      </c>
      <c r="B95" s="0" t="s">
        <v>140</v>
      </c>
      <c r="C95" s="0" t="s">
        <v>141</v>
      </c>
      <c r="D95" s="0" t="s">
        <v>140</v>
      </c>
      <c r="E95" s="0" t="s">
        <v>141</v>
      </c>
      <c r="F95" s="0" t="s">
        <v>2869</v>
      </c>
      <c r="G95" s="0" t="s">
        <v>139</v>
      </c>
    </row>
    <row customHeight="1" ht="11.25">
      <c r="A96" s="380" t="s">
        <v>16</v>
      </c>
      <c r="B96" s="0" t="s">
        <v>140</v>
      </c>
      <c r="C96" s="0" t="s">
        <v>141</v>
      </c>
      <c r="D96" s="0" t="s">
        <v>3071</v>
      </c>
      <c r="E96" s="0" t="s">
        <v>3072</v>
      </c>
      <c r="F96" s="0" t="s">
        <v>2872</v>
      </c>
      <c r="G96" s="0" t="s">
        <v>3073</v>
      </c>
    </row>
    <row customHeight="1" ht="11.25">
      <c r="A97" s="380" t="s">
        <v>16</v>
      </c>
      <c r="B97" s="0" t="s">
        <v>140</v>
      </c>
      <c r="C97" s="0" t="s">
        <v>141</v>
      </c>
      <c r="D97" s="0" t="s">
        <v>3074</v>
      </c>
      <c r="E97" s="0" t="s">
        <v>3075</v>
      </c>
      <c r="F97" s="0" t="s">
        <v>2872</v>
      </c>
      <c r="G97" s="0" t="s">
        <v>3076</v>
      </c>
    </row>
    <row customHeight="1" ht="11.25">
      <c r="A98" s="380" t="s">
        <v>16</v>
      </c>
      <c r="B98" s="0" t="s">
        <v>140</v>
      </c>
      <c r="C98" s="0" t="s">
        <v>141</v>
      </c>
      <c r="D98" s="0" t="s">
        <v>3077</v>
      </c>
      <c r="E98" s="0" t="s">
        <v>3078</v>
      </c>
      <c r="F98" s="0" t="s">
        <v>2872</v>
      </c>
      <c r="G98" s="0" t="s">
        <v>3079</v>
      </c>
    </row>
    <row customHeight="1" ht="11.25">
      <c r="A99" s="380" t="s">
        <v>16</v>
      </c>
      <c r="B99" s="0" t="s">
        <v>140</v>
      </c>
      <c r="C99" s="0" t="s">
        <v>141</v>
      </c>
      <c r="D99" s="0" t="s">
        <v>3080</v>
      </c>
      <c r="E99" s="0" t="s">
        <v>3081</v>
      </c>
      <c r="F99" s="0" t="s">
        <v>2872</v>
      </c>
      <c r="G99" s="0" t="s">
        <v>3082</v>
      </c>
    </row>
    <row customHeight="1" ht="11.25">
      <c r="A100" s="380" t="s">
        <v>16</v>
      </c>
      <c r="B100" s="0" t="s">
        <v>140</v>
      </c>
      <c r="C100" s="0" t="s">
        <v>141</v>
      </c>
      <c r="D100" s="0" t="s">
        <v>3083</v>
      </c>
      <c r="E100" s="0" t="s">
        <v>3084</v>
      </c>
      <c r="F100" s="0" t="s">
        <v>2872</v>
      </c>
      <c r="G100" s="0" t="s">
        <v>3085</v>
      </c>
    </row>
    <row customHeight="1" ht="11.25">
      <c r="A101" s="380" t="s">
        <v>16</v>
      </c>
      <c r="B101" s="0" t="s">
        <v>140</v>
      </c>
      <c r="C101" s="0" t="s">
        <v>141</v>
      </c>
      <c r="D101" s="0" t="s">
        <v>3086</v>
      </c>
      <c r="E101" s="0" t="s">
        <v>3087</v>
      </c>
      <c r="F101" s="0" t="s">
        <v>2872</v>
      </c>
      <c r="G101" s="0" t="s">
        <v>3088</v>
      </c>
    </row>
    <row customHeight="1" ht="11.25">
      <c r="A102" s="380" t="s">
        <v>16</v>
      </c>
      <c r="B102" s="0" t="s">
        <v>140</v>
      </c>
      <c r="C102" s="0" t="s">
        <v>141</v>
      </c>
      <c r="D102" s="0" t="s">
        <v>3089</v>
      </c>
      <c r="E102" s="0" t="s">
        <v>3090</v>
      </c>
      <c r="F102" s="0" t="s">
        <v>2872</v>
      </c>
      <c r="G102" s="0" t="s">
        <v>3091</v>
      </c>
    </row>
    <row customHeight="1" ht="11.25">
      <c r="A103" s="380" t="s">
        <v>16</v>
      </c>
      <c r="B103" s="0" t="s">
        <v>140</v>
      </c>
      <c r="C103" s="0" t="s">
        <v>141</v>
      </c>
      <c r="D103" s="0" t="s">
        <v>3092</v>
      </c>
      <c r="E103" s="0" t="s">
        <v>3093</v>
      </c>
      <c r="F103" s="0" t="s">
        <v>2872</v>
      </c>
      <c r="G103" s="0" t="s">
        <v>3094</v>
      </c>
    </row>
    <row customHeight="1" ht="11.25">
      <c r="A104" s="380" t="s">
        <v>16</v>
      </c>
      <c r="B104" s="0" t="s">
        <v>140</v>
      </c>
      <c r="C104" s="0" t="s">
        <v>141</v>
      </c>
      <c r="D104" s="0" t="s">
        <v>3095</v>
      </c>
      <c r="E104" s="0" t="s">
        <v>3096</v>
      </c>
      <c r="F104" s="0" t="s">
        <v>2872</v>
      </c>
      <c r="G104" s="0" t="s">
        <v>3097</v>
      </c>
    </row>
    <row customHeight="1" ht="11.25">
      <c r="A105" s="380" t="s">
        <v>16</v>
      </c>
      <c r="B105" s="0" t="s">
        <v>140</v>
      </c>
      <c r="C105" s="0" t="s">
        <v>141</v>
      </c>
      <c r="D105" s="0" t="s">
        <v>3098</v>
      </c>
      <c r="E105" s="0" t="s">
        <v>3099</v>
      </c>
      <c r="F105" s="0" t="s">
        <v>2872</v>
      </c>
      <c r="G105" s="0" t="s">
        <v>3100</v>
      </c>
    </row>
    <row customHeight="1" ht="11.25">
      <c r="A106" s="380" t="s">
        <v>16</v>
      </c>
      <c r="B106" s="0" t="s">
        <v>140</v>
      </c>
      <c r="C106" s="0" t="s">
        <v>141</v>
      </c>
      <c r="D106" s="0" t="s">
        <v>3101</v>
      </c>
      <c r="E106" s="0" t="s">
        <v>3102</v>
      </c>
      <c r="F106" s="0" t="s">
        <v>2872</v>
      </c>
      <c r="G106" s="0" t="s">
        <v>3103</v>
      </c>
    </row>
    <row customHeight="1" ht="11.25">
      <c r="A107" s="380" t="s">
        <v>16</v>
      </c>
      <c r="B107" s="0" t="s">
        <v>140</v>
      </c>
      <c r="C107" s="0" t="s">
        <v>141</v>
      </c>
      <c r="D107" s="0" t="s">
        <v>3104</v>
      </c>
      <c r="E107" s="0" t="s">
        <v>3105</v>
      </c>
      <c r="F107" s="0" t="s">
        <v>2872</v>
      </c>
      <c r="G107" s="0" t="s">
        <v>3106</v>
      </c>
    </row>
    <row customHeight="1" ht="11.25">
      <c r="A108" s="380" t="s">
        <v>16</v>
      </c>
      <c r="B108" s="0" t="s">
        <v>140</v>
      </c>
      <c r="C108" s="0" t="s">
        <v>141</v>
      </c>
      <c r="D108" s="0" t="s">
        <v>3107</v>
      </c>
      <c r="E108" s="0" t="s">
        <v>3108</v>
      </c>
      <c r="F108" s="0" t="s">
        <v>2872</v>
      </c>
      <c r="G108" s="0" t="s">
        <v>3109</v>
      </c>
    </row>
    <row customHeight="1" ht="11.25">
      <c r="A109" s="380" t="s">
        <v>16</v>
      </c>
      <c r="B109" s="0" t="s">
        <v>140</v>
      </c>
      <c r="C109" s="0" t="s">
        <v>141</v>
      </c>
      <c r="D109" s="0" t="s">
        <v>3110</v>
      </c>
      <c r="E109" s="0" t="s">
        <v>3111</v>
      </c>
      <c r="F109" s="0" t="s">
        <v>3112</v>
      </c>
      <c r="G109" s="0" t="s">
        <v>3113</v>
      </c>
    </row>
    <row customHeight="1" ht="11.25">
      <c r="A110" s="380" t="s">
        <v>16</v>
      </c>
      <c r="B110" s="0" t="s">
        <v>145</v>
      </c>
      <c r="C110" s="0" t="s">
        <v>146</v>
      </c>
      <c r="D110" s="0" t="s">
        <v>3114</v>
      </c>
      <c r="E110" s="0" t="s">
        <v>3115</v>
      </c>
      <c r="F110" s="0" t="s">
        <v>2872</v>
      </c>
      <c r="G110" s="0" t="s">
        <v>3116</v>
      </c>
    </row>
    <row customHeight="1" ht="11.25">
      <c r="A111" s="380" t="s">
        <v>16</v>
      </c>
      <c r="B111" s="0" t="s">
        <v>145</v>
      </c>
      <c r="C111" s="0" t="s">
        <v>146</v>
      </c>
      <c r="D111" s="0" t="s">
        <v>3117</v>
      </c>
      <c r="E111" s="0" t="s">
        <v>3118</v>
      </c>
      <c r="F111" s="0" t="s">
        <v>2872</v>
      </c>
      <c r="G111" s="0" t="s">
        <v>3119</v>
      </c>
    </row>
    <row customHeight="1" ht="11.25">
      <c r="A112" s="380" t="s">
        <v>16</v>
      </c>
      <c r="B112" s="0" t="s">
        <v>145</v>
      </c>
      <c r="C112" s="0" t="s">
        <v>146</v>
      </c>
      <c r="D112" s="0" t="s">
        <v>3120</v>
      </c>
      <c r="E112" s="0" t="s">
        <v>3121</v>
      </c>
      <c r="F112" s="0" t="s">
        <v>2872</v>
      </c>
      <c r="G112" s="0" t="s">
        <v>3122</v>
      </c>
    </row>
    <row customHeight="1" ht="11.25">
      <c r="A113" s="380" t="s">
        <v>16</v>
      </c>
      <c r="B113" s="0" t="s">
        <v>145</v>
      </c>
      <c r="C113" s="0" t="s">
        <v>146</v>
      </c>
      <c r="D113" s="0" t="s">
        <v>3123</v>
      </c>
      <c r="E113" s="0" t="s">
        <v>3124</v>
      </c>
      <c r="F113" s="0" t="s">
        <v>2872</v>
      </c>
      <c r="G113" s="0" t="s">
        <v>3125</v>
      </c>
    </row>
    <row customHeight="1" ht="11.25">
      <c r="A114" s="380" t="s">
        <v>16</v>
      </c>
      <c r="B114" s="0" t="s">
        <v>145</v>
      </c>
      <c r="C114" s="0" t="s">
        <v>146</v>
      </c>
      <c r="D114" s="0" t="s">
        <v>145</v>
      </c>
      <c r="E114" s="0" t="s">
        <v>146</v>
      </c>
      <c r="F114" s="0" t="s">
        <v>2869</v>
      </c>
      <c r="G114" s="0" t="s">
        <v>144</v>
      </c>
    </row>
    <row customHeight="1" ht="11.25">
      <c r="A115" s="380" t="s">
        <v>16</v>
      </c>
      <c r="B115" s="0" t="s">
        <v>145</v>
      </c>
      <c r="C115" s="0" t="s">
        <v>146</v>
      </c>
      <c r="D115" s="0" t="s">
        <v>3126</v>
      </c>
      <c r="E115" s="0" t="s">
        <v>3127</v>
      </c>
      <c r="F115" s="0" t="s">
        <v>2872</v>
      </c>
      <c r="G115" s="0" t="s">
        <v>3128</v>
      </c>
    </row>
    <row customHeight="1" ht="11.25">
      <c r="A116" s="380" t="s">
        <v>16</v>
      </c>
      <c r="B116" s="0" t="s">
        <v>145</v>
      </c>
      <c r="C116" s="0" t="s">
        <v>146</v>
      </c>
      <c r="D116" s="0" t="s">
        <v>3129</v>
      </c>
      <c r="E116" s="0" t="s">
        <v>3130</v>
      </c>
      <c r="F116" s="0" t="s">
        <v>2872</v>
      </c>
      <c r="G116" s="0" t="s">
        <v>3131</v>
      </c>
    </row>
    <row customHeight="1" ht="11.25">
      <c r="A117" s="380" t="s">
        <v>16</v>
      </c>
      <c r="B117" s="0" t="s">
        <v>145</v>
      </c>
      <c r="C117" s="0" t="s">
        <v>146</v>
      </c>
      <c r="D117" s="0" t="s">
        <v>3132</v>
      </c>
      <c r="E117" s="0" t="s">
        <v>3133</v>
      </c>
      <c r="F117" s="0" t="s">
        <v>2872</v>
      </c>
      <c r="G117" s="0" t="s">
        <v>3134</v>
      </c>
    </row>
    <row customHeight="1" ht="11.25">
      <c r="A118" s="380" t="s">
        <v>16</v>
      </c>
      <c r="B118" s="0" t="s">
        <v>145</v>
      </c>
      <c r="C118" s="0" t="s">
        <v>146</v>
      </c>
      <c r="D118" s="0" t="s">
        <v>3135</v>
      </c>
      <c r="E118" s="0" t="s">
        <v>3136</v>
      </c>
      <c r="F118" s="0" t="s">
        <v>2872</v>
      </c>
      <c r="G118" s="0" t="s">
        <v>3137</v>
      </c>
    </row>
    <row customHeight="1" ht="11.25">
      <c r="A119" s="380" t="s">
        <v>16</v>
      </c>
      <c r="B119" s="0" t="s">
        <v>145</v>
      </c>
      <c r="C119" s="0" t="s">
        <v>146</v>
      </c>
      <c r="D119" s="0" t="s">
        <v>3138</v>
      </c>
      <c r="E119" s="0" t="s">
        <v>3139</v>
      </c>
      <c r="F119" s="0" t="s">
        <v>2872</v>
      </c>
      <c r="G119" s="0" t="s">
        <v>3140</v>
      </c>
    </row>
    <row customHeight="1" ht="11.25">
      <c r="A120" s="380" t="s">
        <v>16</v>
      </c>
      <c r="B120" s="0" t="s">
        <v>145</v>
      </c>
      <c r="C120" s="0" t="s">
        <v>146</v>
      </c>
      <c r="D120" s="0" t="s">
        <v>3141</v>
      </c>
      <c r="E120" s="0" t="s">
        <v>3142</v>
      </c>
      <c r="F120" s="0" t="s">
        <v>2872</v>
      </c>
      <c r="G120" s="0" t="s">
        <v>3143</v>
      </c>
    </row>
    <row customHeight="1" ht="11.25">
      <c r="A121" s="380" t="s">
        <v>16</v>
      </c>
      <c r="B121" s="0" t="s">
        <v>150</v>
      </c>
      <c r="C121" s="0" t="s">
        <v>151</v>
      </c>
      <c r="D121" s="0" t="s">
        <v>3144</v>
      </c>
      <c r="E121" s="0" t="s">
        <v>3145</v>
      </c>
      <c r="F121" s="0" t="s">
        <v>2872</v>
      </c>
      <c r="G121" s="0" t="s">
        <v>3146</v>
      </c>
    </row>
    <row customHeight="1" ht="11.25">
      <c r="A122" s="380" t="s">
        <v>16</v>
      </c>
      <c r="B122" s="0" t="s">
        <v>150</v>
      </c>
      <c r="C122" s="0" t="s">
        <v>151</v>
      </c>
      <c r="D122" s="0" t="s">
        <v>3147</v>
      </c>
      <c r="E122" s="0" t="s">
        <v>3148</v>
      </c>
      <c r="F122" s="0" t="s">
        <v>2872</v>
      </c>
      <c r="G122" s="0" t="s">
        <v>3149</v>
      </c>
    </row>
    <row customHeight="1" ht="11.25">
      <c r="A123" s="380" t="s">
        <v>16</v>
      </c>
      <c r="B123" s="0" t="s">
        <v>150</v>
      </c>
      <c r="C123" s="0" t="s">
        <v>151</v>
      </c>
      <c r="D123" s="0" t="s">
        <v>3150</v>
      </c>
      <c r="E123" s="0" t="s">
        <v>3151</v>
      </c>
      <c r="F123" s="0" t="s">
        <v>2872</v>
      </c>
      <c r="G123" s="0" t="s">
        <v>3152</v>
      </c>
    </row>
    <row customHeight="1" ht="11.25">
      <c r="A124" s="380" t="s">
        <v>16</v>
      </c>
      <c r="B124" s="0" t="s">
        <v>150</v>
      </c>
      <c r="C124" s="0" t="s">
        <v>151</v>
      </c>
      <c r="D124" s="0" t="s">
        <v>3153</v>
      </c>
      <c r="E124" s="0" t="s">
        <v>3154</v>
      </c>
      <c r="F124" s="0" t="s">
        <v>2872</v>
      </c>
      <c r="G124" s="0" t="s">
        <v>3155</v>
      </c>
    </row>
    <row customHeight="1" ht="11.25">
      <c r="A125" s="380" t="s">
        <v>16</v>
      </c>
      <c r="B125" s="0" t="s">
        <v>150</v>
      </c>
      <c r="C125" s="0" t="s">
        <v>151</v>
      </c>
      <c r="D125" s="0" t="s">
        <v>3156</v>
      </c>
      <c r="E125" s="0" t="s">
        <v>3157</v>
      </c>
      <c r="F125" s="0" t="s">
        <v>2872</v>
      </c>
      <c r="G125" s="0" t="s">
        <v>3158</v>
      </c>
    </row>
    <row customHeight="1" ht="11.25">
      <c r="A126" s="380" t="s">
        <v>16</v>
      </c>
      <c r="B126" s="0" t="s">
        <v>150</v>
      </c>
      <c r="C126" s="0" t="s">
        <v>151</v>
      </c>
      <c r="D126" s="0" t="s">
        <v>3159</v>
      </c>
      <c r="E126" s="0" t="s">
        <v>3160</v>
      </c>
      <c r="F126" s="0" t="s">
        <v>2872</v>
      </c>
      <c r="G126" s="0" t="s">
        <v>3161</v>
      </c>
    </row>
    <row customHeight="1" ht="11.25">
      <c r="A127" s="380" t="s">
        <v>16</v>
      </c>
      <c r="B127" s="0" t="s">
        <v>150</v>
      </c>
      <c r="C127" s="0" t="s">
        <v>151</v>
      </c>
      <c r="D127" s="0" t="s">
        <v>3162</v>
      </c>
      <c r="E127" s="0" t="s">
        <v>3163</v>
      </c>
      <c r="F127" s="0" t="s">
        <v>2872</v>
      </c>
      <c r="G127" s="0" t="s">
        <v>3164</v>
      </c>
    </row>
    <row customHeight="1" ht="11.25">
      <c r="A128" s="380" t="s">
        <v>16</v>
      </c>
      <c r="B128" s="0" t="s">
        <v>150</v>
      </c>
      <c r="C128" s="0" t="s">
        <v>151</v>
      </c>
      <c r="D128" s="0" t="s">
        <v>150</v>
      </c>
      <c r="E128" s="0" t="s">
        <v>151</v>
      </c>
      <c r="F128" s="0" t="s">
        <v>2869</v>
      </c>
      <c r="G128" s="0" t="s">
        <v>149</v>
      </c>
    </row>
    <row customHeight="1" ht="11.25">
      <c r="A129" s="380" t="s">
        <v>16</v>
      </c>
      <c r="B129" s="0" t="s">
        <v>150</v>
      </c>
      <c r="C129" s="0" t="s">
        <v>151</v>
      </c>
      <c r="D129" s="0" t="s">
        <v>3165</v>
      </c>
      <c r="E129" s="0" t="s">
        <v>3166</v>
      </c>
      <c r="F129" s="0" t="s">
        <v>2872</v>
      </c>
      <c r="G129" s="0" t="s">
        <v>3167</v>
      </c>
    </row>
    <row customHeight="1" ht="11.25">
      <c r="A130" s="380" t="s">
        <v>16</v>
      </c>
      <c r="B130" s="0" t="s">
        <v>150</v>
      </c>
      <c r="C130" s="0" t="s">
        <v>151</v>
      </c>
      <c r="D130" s="0" t="s">
        <v>3168</v>
      </c>
      <c r="E130" s="0" t="s">
        <v>3169</v>
      </c>
      <c r="F130" s="0" t="s">
        <v>2872</v>
      </c>
      <c r="G130" s="0" t="s">
        <v>3170</v>
      </c>
    </row>
    <row customHeight="1" ht="11.25">
      <c r="A131" s="380" t="s">
        <v>16</v>
      </c>
      <c r="B131" s="0" t="s">
        <v>150</v>
      </c>
      <c r="C131" s="0" t="s">
        <v>151</v>
      </c>
      <c r="D131" s="0" t="s">
        <v>3171</v>
      </c>
      <c r="E131" s="0" t="s">
        <v>3172</v>
      </c>
      <c r="F131" s="0" t="s">
        <v>2872</v>
      </c>
      <c r="G131" s="0" t="s">
        <v>3173</v>
      </c>
    </row>
    <row customHeight="1" ht="11.25">
      <c r="A132" s="380" t="s">
        <v>16</v>
      </c>
      <c r="B132" s="0" t="s">
        <v>150</v>
      </c>
      <c r="C132" s="0" t="s">
        <v>151</v>
      </c>
      <c r="D132" s="0" t="s">
        <v>3174</v>
      </c>
      <c r="E132" s="0" t="s">
        <v>3175</v>
      </c>
      <c r="F132" s="0" t="s">
        <v>2872</v>
      </c>
      <c r="G132" s="0" t="s">
        <v>3176</v>
      </c>
    </row>
    <row customHeight="1" ht="11.25">
      <c r="A133" s="380" t="s">
        <v>16</v>
      </c>
      <c r="B133" s="0" t="s">
        <v>150</v>
      </c>
      <c r="C133" s="0" t="s">
        <v>151</v>
      </c>
      <c r="D133" s="0" t="s">
        <v>3177</v>
      </c>
      <c r="E133" s="0" t="s">
        <v>3178</v>
      </c>
      <c r="F133" s="0" t="s">
        <v>2872</v>
      </c>
      <c r="G133" s="0" t="s">
        <v>3179</v>
      </c>
    </row>
    <row customHeight="1" ht="11.25">
      <c r="A134" s="380" t="s">
        <v>16</v>
      </c>
      <c r="B134" s="0" t="s">
        <v>150</v>
      </c>
      <c r="C134" s="0" t="s">
        <v>151</v>
      </c>
      <c r="D134" s="0" t="s">
        <v>2903</v>
      </c>
      <c r="E134" s="0" t="s">
        <v>3180</v>
      </c>
      <c r="F134" s="0" t="s">
        <v>2872</v>
      </c>
      <c r="G134" s="0" t="s">
        <v>3181</v>
      </c>
    </row>
    <row customHeight="1" ht="11.25">
      <c r="A135" s="380" t="s">
        <v>16</v>
      </c>
      <c r="B135" s="0" t="s">
        <v>150</v>
      </c>
      <c r="C135" s="0" t="s">
        <v>151</v>
      </c>
      <c r="D135" s="0" t="s">
        <v>3182</v>
      </c>
      <c r="E135" s="0" t="s">
        <v>3183</v>
      </c>
      <c r="F135" s="0" t="s">
        <v>2872</v>
      </c>
      <c r="G135" s="0" t="s">
        <v>3184</v>
      </c>
    </row>
    <row customHeight="1" ht="11.25">
      <c r="A136" s="380" t="s">
        <v>16</v>
      </c>
      <c r="B136" s="0" t="s">
        <v>150</v>
      </c>
      <c r="C136" s="0" t="s">
        <v>151</v>
      </c>
      <c r="D136" s="0" t="s">
        <v>3185</v>
      </c>
      <c r="E136" s="0" t="s">
        <v>3186</v>
      </c>
      <c r="F136" s="0" t="s">
        <v>2915</v>
      </c>
      <c r="G136" s="0" t="s">
        <v>3187</v>
      </c>
    </row>
    <row customHeight="1" ht="11.25">
      <c r="A137" s="380" t="s">
        <v>16</v>
      </c>
      <c r="B137" s="0" t="s">
        <v>155</v>
      </c>
      <c r="C137" s="0" t="s">
        <v>156</v>
      </c>
      <c r="D137" s="0" t="s">
        <v>3188</v>
      </c>
      <c r="E137" s="0" t="s">
        <v>3189</v>
      </c>
      <c r="F137" s="0" t="s">
        <v>2872</v>
      </c>
      <c r="G137" s="0" t="s">
        <v>3190</v>
      </c>
    </row>
    <row customHeight="1" ht="11.25">
      <c r="A138" s="380" t="s">
        <v>16</v>
      </c>
      <c r="B138" s="0" t="s">
        <v>155</v>
      </c>
      <c r="C138" s="0" t="s">
        <v>156</v>
      </c>
      <c r="D138" s="0" t="s">
        <v>3191</v>
      </c>
      <c r="E138" s="0" t="s">
        <v>3192</v>
      </c>
      <c r="F138" s="0" t="s">
        <v>2872</v>
      </c>
      <c r="G138" s="0" t="s">
        <v>3193</v>
      </c>
    </row>
    <row customHeight="1" ht="11.25">
      <c r="A139" s="380" t="s">
        <v>16</v>
      </c>
      <c r="B139" s="0" t="s">
        <v>155</v>
      </c>
      <c r="C139" s="0" t="s">
        <v>156</v>
      </c>
      <c r="D139" s="0" t="s">
        <v>3194</v>
      </c>
      <c r="E139" s="0" t="s">
        <v>3195</v>
      </c>
      <c r="F139" s="0" t="s">
        <v>2872</v>
      </c>
      <c r="G139" s="0" t="s">
        <v>3196</v>
      </c>
    </row>
    <row customHeight="1" ht="11.25">
      <c r="A140" s="380" t="s">
        <v>16</v>
      </c>
      <c r="B140" s="0" t="s">
        <v>155</v>
      </c>
      <c r="C140" s="0" t="s">
        <v>156</v>
      </c>
      <c r="D140" s="0" t="s">
        <v>3197</v>
      </c>
      <c r="E140" s="0" t="s">
        <v>3198</v>
      </c>
      <c r="F140" s="0" t="s">
        <v>2872</v>
      </c>
      <c r="G140" s="0" t="s">
        <v>3199</v>
      </c>
    </row>
    <row customHeight="1" ht="11.25">
      <c r="A141" s="380" t="s">
        <v>16</v>
      </c>
      <c r="B141" s="0" t="s">
        <v>155</v>
      </c>
      <c r="C141" s="0" t="s">
        <v>156</v>
      </c>
      <c r="D141" s="0" t="s">
        <v>155</v>
      </c>
      <c r="E141" s="0" t="s">
        <v>156</v>
      </c>
      <c r="F141" s="0" t="s">
        <v>2869</v>
      </c>
      <c r="G141" s="0" t="s">
        <v>154</v>
      </c>
    </row>
    <row customHeight="1" ht="11.25">
      <c r="A142" s="380" t="s">
        <v>16</v>
      </c>
      <c r="B142" s="0" t="s">
        <v>155</v>
      </c>
      <c r="C142" s="0" t="s">
        <v>156</v>
      </c>
      <c r="D142" s="0" t="s">
        <v>3200</v>
      </c>
      <c r="E142" s="0" t="s">
        <v>3201</v>
      </c>
      <c r="F142" s="0" t="s">
        <v>2872</v>
      </c>
      <c r="G142" s="0" t="s">
        <v>3202</v>
      </c>
    </row>
    <row customHeight="1" ht="11.25">
      <c r="A143" s="380" t="s">
        <v>16</v>
      </c>
      <c r="B143" s="0" t="s">
        <v>155</v>
      </c>
      <c r="C143" s="0" t="s">
        <v>156</v>
      </c>
      <c r="D143" s="0" t="s">
        <v>3203</v>
      </c>
      <c r="E143" s="0" t="s">
        <v>3204</v>
      </c>
      <c r="F143" s="0" t="s">
        <v>2872</v>
      </c>
      <c r="G143" s="0" t="s">
        <v>3205</v>
      </c>
    </row>
    <row customHeight="1" ht="11.25">
      <c r="A144" s="380" t="s">
        <v>16</v>
      </c>
      <c r="B144" s="0" t="s">
        <v>155</v>
      </c>
      <c r="C144" s="0" t="s">
        <v>156</v>
      </c>
      <c r="D144" s="0" t="s">
        <v>3206</v>
      </c>
      <c r="E144" s="0" t="s">
        <v>3207</v>
      </c>
      <c r="F144" s="0" t="s">
        <v>2872</v>
      </c>
      <c r="G144" s="0" t="s">
        <v>3208</v>
      </c>
    </row>
    <row customHeight="1" ht="11.25">
      <c r="A145" s="380" t="s">
        <v>16</v>
      </c>
      <c r="B145" s="0" t="s">
        <v>155</v>
      </c>
      <c r="C145" s="0" t="s">
        <v>156</v>
      </c>
      <c r="D145" s="0" t="s">
        <v>3209</v>
      </c>
      <c r="E145" s="0" t="s">
        <v>3210</v>
      </c>
      <c r="F145" s="0" t="s">
        <v>2915</v>
      </c>
      <c r="G145" s="0" t="s">
        <v>3211</v>
      </c>
    </row>
    <row customHeight="1" ht="11.25">
      <c r="A146" s="380" t="s">
        <v>16</v>
      </c>
      <c r="B146" s="0" t="s">
        <v>160</v>
      </c>
      <c r="C146" s="0" t="s">
        <v>161</v>
      </c>
      <c r="D146" s="0" t="s">
        <v>160</v>
      </c>
      <c r="E146" s="0" t="s">
        <v>161</v>
      </c>
      <c r="F146" s="0" t="s">
        <v>2868</v>
      </c>
      <c r="G146" s="0" t="s">
        <v>159</v>
      </c>
    </row>
    <row customHeight="1" ht="11.25">
      <c r="A147" s="380" t="s">
        <v>16</v>
      </c>
      <c r="B147" s="0" t="s">
        <v>165</v>
      </c>
      <c r="C147" s="0" t="s">
        <v>166</v>
      </c>
      <c r="D147" s="0" t="s">
        <v>3212</v>
      </c>
      <c r="E147" s="0" t="s">
        <v>3213</v>
      </c>
      <c r="F147" s="0" t="s">
        <v>2872</v>
      </c>
      <c r="G147" s="0" t="s">
        <v>3214</v>
      </c>
    </row>
    <row customHeight="1" ht="11.25">
      <c r="A148" s="380" t="s">
        <v>16</v>
      </c>
      <c r="B148" s="0" t="s">
        <v>165</v>
      </c>
      <c r="C148" s="0" t="s">
        <v>166</v>
      </c>
      <c r="D148" s="0" t="s">
        <v>3215</v>
      </c>
      <c r="E148" s="0" t="s">
        <v>3216</v>
      </c>
      <c r="F148" s="0" t="s">
        <v>2872</v>
      </c>
      <c r="G148" s="0" t="s">
        <v>3217</v>
      </c>
    </row>
    <row customHeight="1" ht="11.25">
      <c r="A149" s="380" t="s">
        <v>16</v>
      </c>
      <c r="B149" s="0" t="s">
        <v>165</v>
      </c>
      <c r="C149" s="0" t="s">
        <v>166</v>
      </c>
      <c r="D149" s="0" t="s">
        <v>3188</v>
      </c>
      <c r="E149" s="0" t="s">
        <v>3218</v>
      </c>
      <c r="F149" s="0" t="s">
        <v>2872</v>
      </c>
      <c r="G149" s="0" t="s">
        <v>3219</v>
      </c>
    </row>
    <row customHeight="1" ht="11.25">
      <c r="A150" s="380" t="s">
        <v>16</v>
      </c>
      <c r="B150" s="0" t="s">
        <v>165</v>
      </c>
      <c r="C150" s="0" t="s">
        <v>166</v>
      </c>
      <c r="D150" s="0" t="s">
        <v>3220</v>
      </c>
      <c r="E150" s="0" t="s">
        <v>3221</v>
      </c>
      <c r="F150" s="0" t="s">
        <v>2872</v>
      </c>
      <c r="G150" s="0" t="s">
        <v>3222</v>
      </c>
    </row>
    <row customHeight="1" ht="11.25">
      <c r="A151" s="380" t="s">
        <v>16</v>
      </c>
      <c r="B151" s="0" t="s">
        <v>165</v>
      </c>
      <c r="C151" s="0" t="s">
        <v>166</v>
      </c>
      <c r="D151" s="0" t="s">
        <v>3162</v>
      </c>
      <c r="E151" s="0" t="s">
        <v>3223</v>
      </c>
      <c r="F151" s="0" t="s">
        <v>2872</v>
      </c>
      <c r="G151" s="0" t="s">
        <v>3224</v>
      </c>
    </row>
    <row customHeight="1" ht="11.25">
      <c r="A152" s="380" t="s">
        <v>16</v>
      </c>
      <c r="B152" s="0" t="s">
        <v>165</v>
      </c>
      <c r="C152" s="0" t="s">
        <v>166</v>
      </c>
      <c r="D152" s="0" t="s">
        <v>3225</v>
      </c>
      <c r="E152" s="0" t="s">
        <v>3226</v>
      </c>
      <c r="F152" s="0" t="s">
        <v>2872</v>
      </c>
      <c r="G152" s="0" t="s">
        <v>3227</v>
      </c>
    </row>
    <row customHeight="1" ht="11.25">
      <c r="A153" s="380" t="s">
        <v>16</v>
      </c>
      <c r="B153" s="0" t="s">
        <v>165</v>
      </c>
      <c r="C153" s="0" t="s">
        <v>166</v>
      </c>
      <c r="D153" s="0" t="s">
        <v>3228</v>
      </c>
      <c r="E153" s="0" t="s">
        <v>3229</v>
      </c>
      <c r="F153" s="0" t="s">
        <v>2872</v>
      </c>
      <c r="G153" s="0" t="s">
        <v>3230</v>
      </c>
    </row>
    <row customHeight="1" ht="11.25">
      <c r="A154" s="380" t="s">
        <v>16</v>
      </c>
      <c r="B154" s="0" t="s">
        <v>165</v>
      </c>
      <c r="C154" s="0" t="s">
        <v>166</v>
      </c>
      <c r="D154" s="0" t="s">
        <v>3231</v>
      </c>
      <c r="E154" s="0" t="s">
        <v>3232</v>
      </c>
      <c r="F154" s="0" t="s">
        <v>2872</v>
      </c>
      <c r="G154" s="0" t="s">
        <v>3233</v>
      </c>
    </row>
    <row customHeight="1" ht="11.25">
      <c r="A155" s="380" t="s">
        <v>16</v>
      </c>
      <c r="B155" s="0" t="s">
        <v>165</v>
      </c>
      <c r="C155" s="0" t="s">
        <v>166</v>
      </c>
      <c r="D155" s="0" t="s">
        <v>3234</v>
      </c>
      <c r="E155" s="0" t="s">
        <v>3235</v>
      </c>
      <c r="F155" s="0" t="s">
        <v>2872</v>
      </c>
      <c r="G155" s="0" t="s">
        <v>3236</v>
      </c>
    </row>
    <row customHeight="1" ht="11.25">
      <c r="A156" s="380" t="s">
        <v>16</v>
      </c>
      <c r="B156" s="0" t="s">
        <v>165</v>
      </c>
      <c r="C156" s="0" t="s">
        <v>166</v>
      </c>
      <c r="D156" s="0" t="s">
        <v>3086</v>
      </c>
      <c r="E156" s="0" t="s">
        <v>3237</v>
      </c>
      <c r="F156" s="0" t="s">
        <v>2872</v>
      </c>
      <c r="G156" s="0" t="s">
        <v>3238</v>
      </c>
    </row>
    <row customHeight="1" ht="11.25">
      <c r="A157" s="380" t="s">
        <v>16</v>
      </c>
      <c r="B157" s="0" t="s">
        <v>165</v>
      </c>
      <c r="C157" s="0" t="s">
        <v>166</v>
      </c>
      <c r="D157" s="0" t="s">
        <v>3239</v>
      </c>
      <c r="E157" s="0" t="s">
        <v>3240</v>
      </c>
      <c r="F157" s="0" t="s">
        <v>2872</v>
      </c>
      <c r="G157" s="0" t="s">
        <v>3241</v>
      </c>
    </row>
    <row customHeight="1" ht="11.25">
      <c r="A158" s="380" t="s">
        <v>16</v>
      </c>
      <c r="B158" s="0" t="s">
        <v>165</v>
      </c>
      <c r="C158" s="0" t="s">
        <v>166</v>
      </c>
      <c r="D158" s="0" t="s">
        <v>3242</v>
      </c>
      <c r="E158" s="0" t="s">
        <v>3243</v>
      </c>
      <c r="F158" s="0" t="s">
        <v>2872</v>
      </c>
      <c r="G158" s="0" t="s">
        <v>3244</v>
      </c>
    </row>
    <row customHeight="1" ht="11.25">
      <c r="A159" s="380" t="s">
        <v>16</v>
      </c>
      <c r="B159" s="0" t="s">
        <v>165</v>
      </c>
      <c r="C159" s="0" t="s">
        <v>166</v>
      </c>
      <c r="D159" s="0" t="s">
        <v>3245</v>
      </c>
      <c r="E159" s="0" t="s">
        <v>3246</v>
      </c>
      <c r="F159" s="0" t="s">
        <v>2872</v>
      </c>
      <c r="G159" s="0" t="s">
        <v>3247</v>
      </c>
    </row>
    <row customHeight="1" ht="11.25">
      <c r="A160" s="380" t="s">
        <v>16</v>
      </c>
      <c r="B160" s="0" t="s">
        <v>165</v>
      </c>
      <c r="C160" s="0" t="s">
        <v>166</v>
      </c>
      <c r="D160" s="0" t="s">
        <v>165</v>
      </c>
      <c r="E160" s="0" t="s">
        <v>166</v>
      </c>
      <c r="F160" s="0" t="s">
        <v>2869</v>
      </c>
      <c r="G160" s="0" t="s">
        <v>164</v>
      </c>
    </row>
    <row customHeight="1" ht="11.25">
      <c r="A161" s="380" t="s">
        <v>16</v>
      </c>
      <c r="B161" s="0" t="s">
        <v>165</v>
      </c>
      <c r="C161" s="0" t="s">
        <v>166</v>
      </c>
      <c r="D161" s="0" t="s">
        <v>3248</v>
      </c>
      <c r="E161" s="0" t="s">
        <v>3249</v>
      </c>
      <c r="F161" s="0" t="s">
        <v>2872</v>
      </c>
      <c r="G161" s="0" t="s">
        <v>3250</v>
      </c>
    </row>
    <row customHeight="1" ht="11.25">
      <c r="A162" s="380" t="s">
        <v>16</v>
      </c>
      <c r="B162" s="0" t="s">
        <v>165</v>
      </c>
      <c r="C162" s="0" t="s">
        <v>166</v>
      </c>
      <c r="D162" s="0" t="s">
        <v>3251</v>
      </c>
      <c r="E162" s="0" t="s">
        <v>3252</v>
      </c>
      <c r="F162" s="0" t="s">
        <v>2872</v>
      </c>
      <c r="G162" s="0" t="s">
        <v>3253</v>
      </c>
    </row>
    <row customHeight="1" ht="11.25">
      <c r="A163" s="380" t="s">
        <v>16</v>
      </c>
      <c r="B163" s="0" t="s">
        <v>165</v>
      </c>
      <c r="C163" s="0" t="s">
        <v>166</v>
      </c>
      <c r="D163" s="0" t="s">
        <v>3254</v>
      </c>
      <c r="E163" s="0" t="s">
        <v>3255</v>
      </c>
      <c r="F163" s="0" t="s">
        <v>2872</v>
      </c>
      <c r="G163" s="0" t="s">
        <v>3256</v>
      </c>
    </row>
    <row customHeight="1" ht="11.25">
      <c r="A164" s="380" t="s">
        <v>16</v>
      </c>
      <c r="B164" s="0" t="s">
        <v>165</v>
      </c>
      <c r="C164" s="0" t="s">
        <v>166</v>
      </c>
      <c r="D164" s="0" t="s">
        <v>3257</v>
      </c>
      <c r="E164" s="0" t="s">
        <v>3258</v>
      </c>
      <c r="F164" s="0" t="s">
        <v>2872</v>
      </c>
      <c r="G164" s="0" t="s">
        <v>3259</v>
      </c>
    </row>
    <row customHeight="1" ht="11.25">
      <c r="A165" s="380" t="s">
        <v>16</v>
      </c>
      <c r="B165" s="0" t="s">
        <v>165</v>
      </c>
      <c r="C165" s="0" t="s">
        <v>166</v>
      </c>
      <c r="D165" s="0" t="s">
        <v>3260</v>
      </c>
      <c r="E165" s="0" t="s">
        <v>3261</v>
      </c>
      <c r="F165" s="0" t="s">
        <v>2915</v>
      </c>
      <c r="G165" s="0" t="s">
        <v>3262</v>
      </c>
    </row>
    <row customHeight="1" ht="11.25">
      <c r="A166" s="380" t="s">
        <v>16</v>
      </c>
      <c r="B166" s="0" t="s">
        <v>170</v>
      </c>
      <c r="C166" s="0" t="s">
        <v>171</v>
      </c>
      <c r="D166" s="0" t="s">
        <v>3263</v>
      </c>
      <c r="E166" s="0" t="s">
        <v>3264</v>
      </c>
      <c r="F166" s="0" t="s">
        <v>2872</v>
      </c>
      <c r="G166" s="0" t="s">
        <v>3265</v>
      </c>
    </row>
    <row customHeight="1" ht="11.25">
      <c r="A167" s="380" t="s">
        <v>16</v>
      </c>
      <c r="B167" s="0" t="s">
        <v>170</v>
      </c>
      <c r="C167" s="0" t="s">
        <v>171</v>
      </c>
      <c r="D167" s="0" t="s">
        <v>3266</v>
      </c>
      <c r="E167" s="0" t="s">
        <v>3267</v>
      </c>
      <c r="F167" s="0" t="s">
        <v>2872</v>
      </c>
      <c r="G167" s="0" t="s">
        <v>3268</v>
      </c>
    </row>
    <row customHeight="1" ht="11.25">
      <c r="A168" s="380" t="s">
        <v>16</v>
      </c>
      <c r="B168" s="0" t="s">
        <v>170</v>
      </c>
      <c r="C168" s="0" t="s">
        <v>171</v>
      </c>
      <c r="D168" s="0" t="s">
        <v>3269</v>
      </c>
      <c r="E168" s="0" t="s">
        <v>3270</v>
      </c>
      <c r="F168" s="0" t="s">
        <v>2872</v>
      </c>
      <c r="G168" s="0" t="s">
        <v>3271</v>
      </c>
    </row>
    <row customHeight="1" ht="11.25">
      <c r="A169" s="380" t="s">
        <v>16</v>
      </c>
      <c r="B169" s="0" t="s">
        <v>170</v>
      </c>
      <c r="C169" s="0" t="s">
        <v>171</v>
      </c>
      <c r="D169" s="0" t="s">
        <v>3272</v>
      </c>
      <c r="E169" s="0" t="s">
        <v>3273</v>
      </c>
      <c r="F169" s="0" t="s">
        <v>2872</v>
      </c>
      <c r="G169" s="0" t="s">
        <v>3274</v>
      </c>
    </row>
    <row customHeight="1" ht="11.25">
      <c r="A170" s="380" t="s">
        <v>16</v>
      </c>
      <c r="B170" s="0" t="s">
        <v>170</v>
      </c>
      <c r="C170" s="0" t="s">
        <v>171</v>
      </c>
      <c r="D170" s="0" t="s">
        <v>3275</v>
      </c>
      <c r="E170" s="0" t="s">
        <v>3276</v>
      </c>
      <c r="F170" s="0" t="s">
        <v>2872</v>
      </c>
      <c r="G170" s="0" t="s">
        <v>3277</v>
      </c>
    </row>
    <row customHeight="1" ht="11.25">
      <c r="A171" s="380" t="s">
        <v>16</v>
      </c>
      <c r="B171" s="0" t="s">
        <v>170</v>
      </c>
      <c r="C171" s="0" t="s">
        <v>171</v>
      </c>
      <c r="D171" s="0" t="s">
        <v>3278</v>
      </c>
      <c r="E171" s="0" t="s">
        <v>3279</v>
      </c>
      <c r="F171" s="0" t="s">
        <v>2872</v>
      </c>
      <c r="G171" s="0" t="s">
        <v>3280</v>
      </c>
    </row>
    <row customHeight="1" ht="11.25">
      <c r="A172" s="380" t="s">
        <v>16</v>
      </c>
      <c r="B172" s="0" t="s">
        <v>170</v>
      </c>
      <c r="C172" s="0" t="s">
        <v>171</v>
      </c>
      <c r="D172" s="0" t="s">
        <v>3281</v>
      </c>
      <c r="E172" s="0" t="s">
        <v>3282</v>
      </c>
      <c r="F172" s="0" t="s">
        <v>2872</v>
      </c>
      <c r="G172" s="0" t="s">
        <v>3283</v>
      </c>
    </row>
    <row customHeight="1" ht="11.25">
      <c r="A173" s="380" t="s">
        <v>16</v>
      </c>
      <c r="B173" s="0" t="s">
        <v>170</v>
      </c>
      <c r="C173" s="0" t="s">
        <v>171</v>
      </c>
      <c r="D173" s="0" t="s">
        <v>3284</v>
      </c>
      <c r="E173" s="0" t="s">
        <v>3285</v>
      </c>
      <c r="F173" s="0" t="s">
        <v>2872</v>
      </c>
      <c r="G173" s="0" t="s">
        <v>3286</v>
      </c>
    </row>
    <row customHeight="1" ht="11.25">
      <c r="A174" s="380" t="s">
        <v>16</v>
      </c>
      <c r="B174" s="0" t="s">
        <v>170</v>
      </c>
      <c r="C174" s="0" t="s">
        <v>171</v>
      </c>
      <c r="D174" s="0" t="s">
        <v>170</v>
      </c>
      <c r="E174" s="0" t="s">
        <v>171</v>
      </c>
      <c r="F174" s="0" t="s">
        <v>2869</v>
      </c>
      <c r="G174" s="0" t="s">
        <v>169</v>
      </c>
    </row>
    <row customHeight="1" ht="11.25">
      <c r="A175" s="380" t="s">
        <v>16</v>
      </c>
      <c r="B175" s="0" t="s">
        <v>170</v>
      </c>
      <c r="C175" s="0" t="s">
        <v>171</v>
      </c>
      <c r="D175" s="0" t="s">
        <v>3287</v>
      </c>
      <c r="E175" s="0" t="s">
        <v>3288</v>
      </c>
      <c r="F175" s="0" t="s">
        <v>2872</v>
      </c>
      <c r="G175" s="0" t="s">
        <v>3289</v>
      </c>
    </row>
    <row customHeight="1" ht="11.25">
      <c r="A176" s="380" t="s">
        <v>16</v>
      </c>
      <c r="B176" s="0" t="s">
        <v>170</v>
      </c>
      <c r="C176" s="0" t="s">
        <v>171</v>
      </c>
      <c r="D176" s="0" t="s">
        <v>3290</v>
      </c>
      <c r="E176" s="0" t="s">
        <v>3291</v>
      </c>
      <c r="F176" s="0" t="s">
        <v>2872</v>
      </c>
      <c r="G176" s="0" t="s">
        <v>3292</v>
      </c>
    </row>
    <row customHeight="1" ht="11.25">
      <c r="A177" s="380" t="s">
        <v>16</v>
      </c>
      <c r="B177" s="0" t="s">
        <v>170</v>
      </c>
      <c r="C177" s="0" t="s">
        <v>171</v>
      </c>
      <c r="D177" s="0" t="s">
        <v>3293</v>
      </c>
      <c r="E177" s="0" t="s">
        <v>3294</v>
      </c>
      <c r="F177" s="0" t="s">
        <v>2872</v>
      </c>
      <c r="G177" s="0" t="s">
        <v>3295</v>
      </c>
    </row>
    <row customHeight="1" ht="11.25">
      <c r="A178" s="380" t="s">
        <v>16</v>
      </c>
      <c r="B178" s="0" t="s">
        <v>170</v>
      </c>
      <c r="C178" s="0" t="s">
        <v>171</v>
      </c>
      <c r="D178" s="0" t="s">
        <v>3296</v>
      </c>
      <c r="E178" s="0" t="s">
        <v>3297</v>
      </c>
      <c r="F178" s="0" t="s">
        <v>2915</v>
      </c>
      <c r="G178" s="0" t="s">
        <v>3298</v>
      </c>
    </row>
    <row customHeight="1" ht="11.25">
      <c r="A179" s="380" t="s">
        <v>16</v>
      </c>
      <c r="B179" s="0" t="s">
        <v>170</v>
      </c>
      <c r="C179" s="0" t="s">
        <v>171</v>
      </c>
      <c r="D179" s="0" t="s">
        <v>3299</v>
      </c>
      <c r="E179" s="0" t="s">
        <v>3300</v>
      </c>
      <c r="F179" s="0" t="s">
        <v>2915</v>
      </c>
      <c r="G179" s="0" t="s">
        <v>3301</v>
      </c>
    </row>
    <row customHeight="1" ht="11.25">
      <c r="A180" s="380" t="s">
        <v>16</v>
      </c>
      <c r="B180" s="0" t="s">
        <v>175</v>
      </c>
      <c r="C180" s="0" t="s">
        <v>176</v>
      </c>
      <c r="D180" s="0" t="s">
        <v>3302</v>
      </c>
      <c r="E180" s="0" t="s">
        <v>3303</v>
      </c>
      <c r="F180" s="0" t="s">
        <v>2872</v>
      </c>
      <c r="G180" s="0" t="s">
        <v>3304</v>
      </c>
    </row>
    <row customHeight="1" ht="11.25">
      <c r="A181" s="380" t="s">
        <v>16</v>
      </c>
      <c r="B181" s="0" t="s">
        <v>175</v>
      </c>
      <c r="C181" s="0" t="s">
        <v>176</v>
      </c>
      <c r="D181" s="0" t="s">
        <v>3305</v>
      </c>
      <c r="E181" s="0" t="s">
        <v>3306</v>
      </c>
      <c r="F181" s="0" t="s">
        <v>2872</v>
      </c>
      <c r="G181" s="0" t="s">
        <v>3307</v>
      </c>
    </row>
    <row customHeight="1" ht="11.25">
      <c r="A182" s="380" t="s">
        <v>16</v>
      </c>
      <c r="B182" s="0" t="s">
        <v>175</v>
      </c>
      <c r="C182" s="0" t="s">
        <v>176</v>
      </c>
      <c r="D182" s="0" t="s">
        <v>3308</v>
      </c>
      <c r="E182" s="0" t="s">
        <v>3309</v>
      </c>
      <c r="F182" s="0" t="s">
        <v>2872</v>
      </c>
      <c r="G182" s="0" t="s">
        <v>3310</v>
      </c>
    </row>
    <row customHeight="1" ht="11.25">
      <c r="A183" s="380" t="s">
        <v>16</v>
      </c>
      <c r="B183" s="0" t="s">
        <v>175</v>
      </c>
      <c r="C183" s="0" t="s">
        <v>176</v>
      </c>
      <c r="D183" s="0" t="s">
        <v>3311</v>
      </c>
      <c r="E183" s="0" t="s">
        <v>3312</v>
      </c>
      <c r="F183" s="0" t="s">
        <v>2872</v>
      </c>
      <c r="G183" s="0" t="s">
        <v>3313</v>
      </c>
    </row>
    <row customHeight="1" ht="11.25">
      <c r="A184" s="380" t="s">
        <v>16</v>
      </c>
      <c r="B184" s="0" t="s">
        <v>175</v>
      </c>
      <c r="C184" s="0" t="s">
        <v>176</v>
      </c>
      <c r="D184" s="0" t="s">
        <v>3314</v>
      </c>
      <c r="E184" s="0" t="s">
        <v>3315</v>
      </c>
      <c r="F184" s="0" t="s">
        <v>2872</v>
      </c>
      <c r="G184" s="0" t="s">
        <v>3316</v>
      </c>
    </row>
    <row customHeight="1" ht="11.25">
      <c r="A185" s="380" t="s">
        <v>16</v>
      </c>
      <c r="B185" s="0" t="s">
        <v>175</v>
      </c>
      <c r="C185" s="0" t="s">
        <v>176</v>
      </c>
      <c r="D185" s="0" t="s">
        <v>3317</v>
      </c>
      <c r="E185" s="0" t="s">
        <v>3318</v>
      </c>
      <c r="F185" s="0" t="s">
        <v>2872</v>
      </c>
      <c r="G185" s="0" t="s">
        <v>3319</v>
      </c>
    </row>
    <row customHeight="1" ht="11.25">
      <c r="A186" s="380" t="s">
        <v>16</v>
      </c>
      <c r="B186" s="0" t="s">
        <v>175</v>
      </c>
      <c r="C186" s="0" t="s">
        <v>176</v>
      </c>
      <c r="D186" s="0" t="s">
        <v>3320</v>
      </c>
      <c r="E186" s="0" t="s">
        <v>3321</v>
      </c>
      <c r="F186" s="0" t="s">
        <v>2872</v>
      </c>
      <c r="G186" s="0" t="s">
        <v>3322</v>
      </c>
    </row>
    <row customHeight="1" ht="11.25">
      <c r="A187" s="380" t="s">
        <v>16</v>
      </c>
      <c r="B187" s="0" t="s">
        <v>175</v>
      </c>
      <c r="C187" s="0" t="s">
        <v>176</v>
      </c>
      <c r="D187" s="0" t="s">
        <v>3323</v>
      </c>
      <c r="E187" s="0" t="s">
        <v>3324</v>
      </c>
      <c r="F187" s="0" t="s">
        <v>2872</v>
      </c>
      <c r="G187" s="0" t="s">
        <v>3325</v>
      </c>
    </row>
    <row customHeight="1" ht="11.25">
      <c r="A188" s="380" t="s">
        <v>16</v>
      </c>
      <c r="B188" s="0" t="s">
        <v>175</v>
      </c>
      <c r="C188" s="0" t="s">
        <v>176</v>
      </c>
      <c r="D188" s="0" t="s">
        <v>3326</v>
      </c>
      <c r="E188" s="0" t="s">
        <v>3327</v>
      </c>
      <c r="F188" s="0" t="s">
        <v>2872</v>
      </c>
      <c r="G188" s="0" t="s">
        <v>3328</v>
      </c>
    </row>
    <row customHeight="1" ht="11.25">
      <c r="A189" s="380" t="s">
        <v>16</v>
      </c>
      <c r="B189" s="0" t="s">
        <v>175</v>
      </c>
      <c r="C189" s="0" t="s">
        <v>176</v>
      </c>
      <c r="D189" s="0" t="s">
        <v>175</v>
      </c>
      <c r="E189" s="0" t="s">
        <v>176</v>
      </c>
      <c r="F189" s="0" t="s">
        <v>2869</v>
      </c>
      <c r="G189" s="0" t="s">
        <v>174</v>
      </c>
    </row>
    <row customHeight="1" ht="11.25">
      <c r="A190" s="380" t="s">
        <v>16</v>
      </c>
      <c r="B190" s="0" t="s">
        <v>175</v>
      </c>
      <c r="C190" s="0" t="s">
        <v>176</v>
      </c>
      <c r="D190" s="0" t="s">
        <v>3329</v>
      </c>
      <c r="E190" s="0" t="s">
        <v>3330</v>
      </c>
      <c r="F190" s="0" t="s">
        <v>2872</v>
      </c>
      <c r="G190" s="0" t="s">
        <v>3331</v>
      </c>
    </row>
    <row customHeight="1" ht="11.25">
      <c r="A191" s="380" t="s">
        <v>16</v>
      </c>
      <c r="B191" s="0" t="s">
        <v>175</v>
      </c>
      <c r="C191" s="0" t="s">
        <v>176</v>
      </c>
      <c r="D191" s="0" t="s">
        <v>3332</v>
      </c>
      <c r="E191" s="0" t="s">
        <v>3333</v>
      </c>
      <c r="F191" s="0" t="s">
        <v>2872</v>
      </c>
      <c r="G191" s="0" t="s">
        <v>3334</v>
      </c>
    </row>
    <row customHeight="1" ht="11.25">
      <c r="A192" s="380" t="s">
        <v>16</v>
      </c>
      <c r="B192" s="0" t="s">
        <v>175</v>
      </c>
      <c r="C192" s="0" t="s">
        <v>176</v>
      </c>
      <c r="D192" s="0" t="s">
        <v>3335</v>
      </c>
      <c r="E192" s="0" t="s">
        <v>3336</v>
      </c>
      <c r="F192" s="0" t="s">
        <v>2915</v>
      </c>
      <c r="G192" s="0" t="s">
        <v>3337</v>
      </c>
    </row>
    <row customHeight="1" ht="11.25">
      <c r="A193" s="380" t="s">
        <v>16</v>
      </c>
      <c r="B193" s="0" t="s">
        <v>3338</v>
      </c>
      <c r="C193" s="0" t="s">
        <v>3339</v>
      </c>
      <c r="D193" s="0" t="s">
        <v>3338</v>
      </c>
      <c r="E193" s="0" t="s">
        <v>3339</v>
      </c>
      <c r="F193" s="0" t="s">
        <v>2868</v>
      </c>
      <c r="G193" s="0" t="s">
        <v>3340</v>
      </c>
    </row>
    <row customHeight="1" ht="11.25">
      <c r="A194" s="380" t="s">
        <v>16</v>
      </c>
      <c r="B194" s="0" t="s">
        <v>187</v>
      </c>
      <c r="C194" s="0" t="s">
        <v>193</v>
      </c>
      <c r="D194" s="0" t="s">
        <v>3341</v>
      </c>
      <c r="E194" s="0" t="s">
        <v>3342</v>
      </c>
      <c r="F194" s="0" t="s">
        <v>2872</v>
      </c>
      <c r="G194" s="0" t="s">
        <v>3343</v>
      </c>
    </row>
    <row customHeight="1" ht="11.25">
      <c r="A195" s="380" t="s">
        <v>16</v>
      </c>
      <c r="B195" s="0" t="s">
        <v>187</v>
      </c>
      <c r="C195" s="0" t="s">
        <v>193</v>
      </c>
      <c r="D195" s="0" t="s">
        <v>3344</v>
      </c>
      <c r="E195" s="0" t="s">
        <v>3345</v>
      </c>
      <c r="F195" s="0" t="s">
        <v>2872</v>
      </c>
      <c r="G195" s="0" t="s">
        <v>3346</v>
      </c>
    </row>
    <row customHeight="1" ht="11.25">
      <c r="A196" s="380" t="s">
        <v>16</v>
      </c>
      <c r="B196" s="0" t="s">
        <v>187</v>
      </c>
      <c r="C196" s="0" t="s">
        <v>193</v>
      </c>
      <c r="D196" s="0" t="s">
        <v>3347</v>
      </c>
      <c r="E196" s="0" t="s">
        <v>3348</v>
      </c>
      <c r="F196" s="0" t="s">
        <v>2872</v>
      </c>
      <c r="G196" s="0" t="s">
        <v>3349</v>
      </c>
    </row>
    <row customHeight="1" ht="11.25">
      <c r="A197" s="380" t="s">
        <v>16</v>
      </c>
      <c r="B197" s="0" t="s">
        <v>187</v>
      </c>
      <c r="C197" s="0" t="s">
        <v>193</v>
      </c>
      <c r="D197" s="0" t="s">
        <v>3350</v>
      </c>
      <c r="E197" s="0" t="s">
        <v>3351</v>
      </c>
      <c r="F197" s="0" t="s">
        <v>2872</v>
      </c>
      <c r="G197" s="0" t="s">
        <v>3352</v>
      </c>
    </row>
    <row customHeight="1" ht="11.25">
      <c r="A198" s="380" t="s">
        <v>16</v>
      </c>
      <c r="B198" s="0" t="s">
        <v>187</v>
      </c>
      <c r="C198" s="0" t="s">
        <v>193</v>
      </c>
      <c r="D198" s="0" t="s">
        <v>3353</v>
      </c>
      <c r="E198" s="0" t="s">
        <v>3354</v>
      </c>
      <c r="F198" s="0" t="s">
        <v>2872</v>
      </c>
      <c r="G198" s="0" t="s">
        <v>3355</v>
      </c>
    </row>
    <row customHeight="1" ht="11.25">
      <c r="A199" s="380" t="s">
        <v>16</v>
      </c>
      <c r="B199" s="0" t="s">
        <v>187</v>
      </c>
      <c r="C199" s="0" t="s">
        <v>193</v>
      </c>
      <c r="D199" s="0" t="s">
        <v>3356</v>
      </c>
      <c r="E199" s="0" t="s">
        <v>3357</v>
      </c>
      <c r="F199" s="0" t="s">
        <v>2872</v>
      </c>
      <c r="G199" s="0" t="s">
        <v>3358</v>
      </c>
    </row>
    <row customHeight="1" ht="11.25">
      <c r="A200" s="380" t="s">
        <v>16</v>
      </c>
      <c r="B200" s="0" t="s">
        <v>187</v>
      </c>
      <c r="C200" s="0" t="s">
        <v>193</v>
      </c>
      <c r="D200" s="0" t="s">
        <v>3359</v>
      </c>
      <c r="E200" s="0" t="s">
        <v>3360</v>
      </c>
      <c r="F200" s="0" t="s">
        <v>2872</v>
      </c>
      <c r="G200" s="0" t="s">
        <v>3361</v>
      </c>
    </row>
    <row customHeight="1" ht="11.25">
      <c r="A201" s="380" t="s">
        <v>16</v>
      </c>
      <c r="B201" s="0" t="s">
        <v>187</v>
      </c>
      <c r="C201" s="0" t="s">
        <v>193</v>
      </c>
      <c r="D201" s="0" t="s">
        <v>3362</v>
      </c>
      <c r="E201" s="0" t="s">
        <v>3363</v>
      </c>
      <c r="F201" s="0" t="s">
        <v>2872</v>
      </c>
      <c r="G201" s="0" t="s">
        <v>3364</v>
      </c>
    </row>
    <row customHeight="1" ht="11.25">
      <c r="A202" s="380" t="s">
        <v>16</v>
      </c>
      <c r="B202" s="0" t="s">
        <v>187</v>
      </c>
      <c r="C202" s="0" t="s">
        <v>193</v>
      </c>
      <c r="D202" s="0" t="s">
        <v>3365</v>
      </c>
      <c r="E202" s="0" t="s">
        <v>3366</v>
      </c>
      <c r="F202" s="0" t="s">
        <v>2872</v>
      </c>
      <c r="G202" s="0" t="s">
        <v>3367</v>
      </c>
    </row>
    <row customHeight="1" ht="11.25">
      <c r="A203" s="380" t="s">
        <v>16</v>
      </c>
      <c r="B203" s="0" t="s">
        <v>187</v>
      </c>
      <c r="C203" s="0" t="s">
        <v>193</v>
      </c>
      <c r="D203" s="0" t="s">
        <v>3368</v>
      </c>
      <c r="E203" s="0" t="s">
        <v>3369</v>
      </c>
      <c r="F203" s="0" t="s">
        <v>2872</v>
      </c>
      <c r="G203" s="0" t="s">
        <v>3370</v>
      </c>
    </row>
    <row customHeight="1" ht="11.25">
      <c r="A204" s="380" t="s">
        <v>16</v>
      </c>
      <c r="B204" s="0" t="s">
        <v>187</v>
      </c>
      <c r="C204" s="0" t="s">
        <v>193</v>
      </c>
      <c r="D204" s="0" t="s">
        <v>3371</v>
      </c>
      <c r="E204" s="0" t="s">
        <v>3372</v>
      </c>
      <c r="F204" s="0" t="s">
        <v>2872</v>
      </c>
      <c r="G204" s="0" t="s">
        <v>3373</v>
      </c>
    </row>
    <row customHeight="1" ht="11.25">
      <c r="A205" s="380" t="s">
        <v>16</v>
      </c>
      <c r="B205" s="0" t="s">
        <v>187</v>
      </c>
      <c r="C205" s="0" t="s">
        <v>193</v>
      </c>
      <c r="D205" s="0" t="s">
        <v>3374</v>
      </c>
      <c r="E205" s="0" t="s">
        <v>3375</v>
      </c>
      <c r="F205" s="0" t="s">
        <v>2872</v>
      </c>
      <c r="G205" s="0" t="s">
        <v>3376</v>
      </c>
    </row>
    <row customHeight="1" ht="11.25">
      <c r="A206" s="380" t="s">
        <v>16</v>
      </c>
      <c r="B206" s="0" t="s">
        <v>187</v>
      </c>
      <c r="C206" s="0" t="s">
        <v>193</v>
      </c>
      <c r="D206" s="0" t="s">
        <v>3377</v>
      </c>
      <c r="E206" s="0" t="s">
        <v>3378</v>
      </c>
      <c r="F206" s="0" t="s">
        <v>2872</v>
      </c>
      <c r="G206" s="0" t="s">
        <v>3379</v>
      </c>
    </row>
    <row customHeight="1" ht="11.25">
      <c r="A207" s="380" t="s">
        <v>16</v>
      </c>
      <c r="B207" s="0" t="s">
        <v>187</v>
      </c>
      <c r="C207" s="0" t="s">
        <v>193</v>
      </c>
      <c r="D207" s="0" t="s">
        <v>3380</v>
      </c>
      <c r="E207" s="0" t="s">
        <v>3381</v>
      </c>
      <c r="F207" s="0" t="s">
        <v>2872</v>
      </c>
      <c r="G207" s="0" t="s">
        <v>3382</v>
      </c>
    </row>
    <row customHeight="1" ht="11.25">
      <c r="A208" s="380" t="s">
        <v>16</v>
      </c>
      <c r="B208" s="0" t="s">
        <v>187</v>
      </c>
      <c r="C208" s="0" t="s">
        <v>193</v>
      </c>
      <c r="D208" s="0" t="s">
        <v>3383</v>
      </c>
      <c r="E208" s="0" t="s">
        <v>3384</v>
      </c>
      <c r="F208" s="0" t="s">
        <v>2872</v>
      </c>
      <c r="G208" s="0" t="s">
        <v>3385</v>
      </c>
    </row>
    <row customHeight="1" ht="11.25">
      <c r="A209" s="380" t="s">
        <v>16</v>
      </c>
      <c r="B209" s="0" t="s">
        <v>187</v>
      </c>
      <c r="C209" s="0" t="s">
        <v>193</v>
      </c>
      <c r="D209" s="0" t="s">
        <v>187</v>
      </c>
      <c r="E209" s="0" t="s">
        <v>193</v>
      </c>
      <c r="F209" s="0" t="s">
        <v>2869</v>
      </c>
      <c r="G209" s="0" t="s">
        <v>192</v>
      </c>
    </row>
    <row customHeight="1" ht="11.25">
      <c r="A210" s="380" t="s">
        <v>16</v>
      </c>
      <c r="B210" s="0" t="s">
        <v>187</v>
      </c>
      <c r="C210" s="0" t="s">
        <v>193</v>
      </c>
      <c r="D210" s="0" t="s">
        <v>188</v>
      </c>
      <c r="E210" s="0" t="s">
        <v>189</v>
      </c>
      <c r="F210" s="0" t="s">
        <v>2915</v>
      </c>
      <c r="G210" s="0" t="s">
        <v>186</v>
      </c>
    </row>
    <row customHeight="1" ht="11.25">
      <c r="A211" s="380" t="s">
        <v>16</v>
      </c>
      <c r="B211" s="0" t="s">
        <v>180</v>
      </c>
      <c r="C211" s="0" t="s">
        <v>181</v>
      </c>
      <c r="D211" s="0" t="s">
        <v>180</v>
      </c>
      <c r="E211" s="0" t="s">
        <v>181</v>
      </c>
      <c r="F211" s="0" t="s">
        <v>2868</v>
      </c>
      <c r="G211" s="0" t="s">
        <v>179</v>
      </c>
    </row>
    <row customHeight="1" ht="11.25">
      <c r="A212" s="380" t="s">
        <v>16</v>
      </c>
      <c r="B212" s="0" t="s">
        <v>197</v>
      </c>
      <c r="C212" s="0" t="s">
        <v>198</v>
      </c>
      <c r="D212" s="0" t="s">
        <v>197</v>
      </c>
      <c r="E212" s="0" t="s">
        <v>198</v>
      </c>
      <c r="F212" s="0" t="s">
        <v>2868</v>
      </c>
      <c r="G212" s="0" t="s">
        <v>196</v>
      </c>
    </row>
    <row customHeight="1" ht="11.25">
      <c r="A213" s="380" t="s">
        <v>16</v>
      </c>
      <c r="B213" s="0" t="s">
        <v>104</v>
      </c>
      <c r="C213" s="0" t="s">
        <v>105</v>
      </c>
      <c r="D213" s="0" t="s">
        <v>104</v>
      </c>
      <c r="E213" s="0" t="s">
        <v>105</v>
      </c>
      <c r="F213" s="0" t="s">
        <v>2868</v>
      </c>
      <c r="G213" s="0" t="s">
        <v>103</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59D215-FF0F-0D14-7796-A184BD584ADA}"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8" width="13.8515625" customWidth="1"/>
    <col min="2" max="2" style="1698" width="10.421875" customWidth="1"/>
    <col min="3" max="3" style="1698" width="7.57421875" customWidth="1"/>
    <col min="4" max="4" style="1698" width="13.8515625" customWidth="1"/>
    <col min="5" max="5" style="1698" width="11.57421875" customWidth="1"/>
    <col min="6" max="6" style="1698" width="16.28125" customWidth="1"/>
    <col min="7" max="7" style="1698" width="16.00390625" customWidth="1"/>
    <col min="8" max="9" style="1698" width="16.140625" customWidth="1"/>
  </cols>
  <sheetData>
    <row customHeight="1" ht="11.25">
      <c r="A1" s="842" t="s">
        <v>3386</v>
      </c>
      <c r="B1" s="842" t="s">
        <v>3387</v>
      </c>
      <c r="C1" s="1166" t="s">
        <v>3388</v>
      </c>
      <c r="D1" s="842" t="s">
        <v>3389</v>
      </c>
      <c r="E1" s="842" t="s">
        <v>3390</v>
      </c>
      <c r="F1" s="1166" t="s">
        <v>3391</v>
      </c>
      <c r="G1" s="1166" t="s">
        <v>3392</v>
      </c>
      <c r="H1" s="1166" t="s">
        <v>3393</v>
      </c>
      <c r="I1" s="1166" t="s">
        <v>3394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81460C-5907-3F12-4562-CF3E8EF92988}"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9845E7-731C-6AF1-A148-4640977A236F}" mc:Ignorable="x14ac xr xr2 xr3">
  <sheetPr>
    <tabColor rgb="FFFFCC99"/>
  </sheetPr>
  <dimension ref="A1:B22"/>
  <sheetViews>
    <sheetView topLeftCell="A1" showGridLines="0" workbookViewId="0">
      <selection activeCell="A1" sqref="A1"/>
    </sheetView>
  </sheetViews>
  <sheetFormatPr defaultColWidth="9.140625" customHeight="1" defaultRowHeight="11.25"/>
  <cols>
    <col min="1" max="2" style="190" width="9.140625"/>
  </cols>
  <sheetData>
    <row customHeight="1" ht="11.25">
      <c r="A1" s="190" t="s">
        <v>222</v>
      </c>
      <c r="B1" s="190" t="s">
        <v>3395</v>
      </c>
    </row>
    <row customHeight="1" ht="11.25">
      <c r="A2" s="190" t="s">
        <v>98</v>
      </c>
      <c r="B2" s="190" t="s">
        <v>3396</v>
      </c>
    </row>
    <row customHeight="1" ht="11.25">
      <c r="A3" s="190" t="s">
        <v>107</v>
      </c>
      <c r="B3" s="190" t="s">
        <v>3397</v>
      </c>
    </row>
    <row customHeight="1" ht="11.25">
      <c r="A4" s="190" t="s">
        <v>111</v>
      </c>
      <c r="B4" s="190" t="s">
        <v>3398</v>
      </c>
    </row>
    <row customHeight="1" ht="11.25">
      <c r="A5" s="190" t="s">
        <v>115</v>
      </c>
      <c r="B5" s="190" t="s">
        <v>3399</v>
      </c>
    </row>
    <row customHeight="1" ht="11.25">
      <c r="A6" s="190" t="s">
        <v>120</v>
      </c>
      <c r="B6" s="190" t="s">
        <v>3400</v>
      </c>
    </row>
    <row customHeight="1" ht="11.25">
      <c r="A7" s="190" t="s">
        <v>124</v>
      </c>
      <c r="B7" s="190" t="s">
        <v>3401</v>
      </c>
    </row>
    <row customHeight="1" ht="11.25">
      <c r="A8" s="190" t="s">
        <v>128</v>
      </c>
      <c r="B8" s="190" t="s">
        <v>3402</v>
      </c>
    </row>
    <row customHeight="1" ht="11.25">
      <c r="A9" s="190" t="s">
        <v>133</v>
      </c>
      <c r="B9" s="190" t="s">
        <v>3403</v>
      </c>
    </row>
    <row customHeight="1" ht="11.25">
      <c r="A10" s="190" t="s">
        <v>138</v>
      </c>
      <c r="B10" s="190" t="s">
        <v>3404</v>
      </c>
    </row>
    <row customHeight="1" ht="11.25">
      <c r="A11" s="190" t="s">
        <v>143</v>
      </c>
      <c r="B11" s="190" t="s">
        <v>3405</v>
      </c>
    </row>
    <row customHeight="1" ht="11.25">
      <c r="A12" s="190" t="s">
        <v>148</v>
      </c>
      <c r="B12" s="190" t="s">
        <v>3406</v>
      </c>
    </row>
    <row customHeight="1" ht="11.25">
      <c r="A13" s="190" t="s">
        <v>153</v>
      </c>
      <c r="B13" s="190" t="s">
        <v>3407</v>
      </c>
    </row>
    <row customHeight="1" ht="11.25">
      <c r="A14" s="190" t="s">
        <v>158</v>
      </c>
      <c r="B14" s="190" t="s">
        <v>3408</v>
      </c>
    </row>
    <row customHeight="1" ht="11.25">
      <c r="A15" s="190" t="s">
        <v>163</v>
      </c>
      <c r="B15" s="190" t="s">
        <v>3409</v>
      </c>
    </row>
    <row customHeight="1" ht="11.25">
      <c r="A16" s="190" t="s">
        <v>168</v>
      </c>
      <c r="B16" s="190" t="s">
        <v>3410</v>
      </c>
    </row>
    <row customHeight="1" ht="11.25">
      <c r="A17" s="190" t="s">
        <v>173</v>
      </c>
      <c r="B17" s="190" t="s">
        <v>3411</v>
      </c>
    </row>
    <row customHeight="1" ht="11.25">
      <c r="A18" s="190" t="s">
        <v>178</v>
      </c>
      <c r="B18" s="190" t="s">
        <v>3412</v>
      </c>
    </row>
    <row customHeight="1" ht="11.25">
      <c r="A19" s="190" t="s">
        <v>183</v>
      </c>
      <c r="B19" s="190" t="s">
        <v>3413</v>
      </c>
    </row>
    <row customHeight="1" ht="11.25">
      <c r="A20" s="190" t="s">
        <v>185</v>
      </c>
      <c r="B20" s="190" t="s">
        <v>3414</v>
      </c>
    </row>
    <row customHeight="1" ht="11.25">
      <c r="A21" s="190" t="s">
        <v>191</v>
      </c>
      <c r="B21" s="190" t="s">
        <v>3415</v>
      </c>
    </row>
    <row customHeight="1" ht="11.25">
      <c r="A22" s="190" t="s">
        <v>195</v>
      </c>
      <c r="B22" s="190" t="s">
        <v>3416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C4031D-C93D-EB62-3C9F-B83B28BC41A5}"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8" width="9.140625"/>
    <col min="2" max="2" style="1698" width="65.28125" customWidth="1"/>
  </cols>
  <sheetData>
    <row customHeight="1" ht="11.25">
      <c r="A1" s="842" t="s">
        <v>3417</v>
      </c>
      <c r="B1" s="842" t="s">
        <v>3418</v>
      </c>
    </row>
    <row customHeight="1" ht="11.25">
      <c r="A2" s="842">
        <v>4213775</v>
      </c>
      <c r="B2" s="842" t="s">
        <v>1384</v>
      </c>
    </row>
    <row customHeight="1" ht="11.25">
      <c r="A3" s="842">
        <v>4213784</v>
      </c>
      <c r="B3" s="842" t="s">
        <v>1417</v>
      </c>
    </row>
    <row customHeight="1" ht="11.25">
      <c r="A4" s="842">
        <v>4213781</v>
      </c>
      <c r="B4" s="842" t="s">
        <v>1410</v>
      </c>
    </row>
    <row customHeight="1" ht="11.25">
      <c r="A5" s="842">
        <v>4213776</v>
      </c>
      <c r="B5" s="842" t="s">
        <v>252</v>
      </c>
    </row>
    <row customHeight="1" ht="11.25">
      <c r="A6" s="842">
        <v>4213777</v>
      </c>
      <c r="B6" s="842" t="s">
        <v>258</v>
      </c>
    </row>
    <row customHeight="1" ht="11.25">
      <c r="A7" s="842">
        <v>4213778</v>
      </c>
      <c r="B7" s="842" t="s">
        <v>264</v>
      </c>
    </row>
    <row customHeight="1" ht="11.25">
      <c r="A8" s="842">
        <v>4213780</v>
      </c>
      <c r="B8" s="842" t="s">
        <v>270</v>
      </c>
    </row>
    <row customHeight="1" ht="11.25">
      <c r="A9" s="842">
        <v>4213779</v>
      </c>
      <c r="B9" s="842" t="s">
        <v>1550</v>
      </c>
    </row>
    <row customHeight="1" ht="11.25">
      <c r="A10" s="842">
        <v>4213783</v>
      </c>
      <c r="B10" s="842" t="s">
        <v>1565</v>
      </c>
    </row>
    <row customHeight="1" ht="11.25">
      <c r="A11" s="842">
        <v>4213782</v>
      </c>
      <c r="B11" s="842" t="s">
        <v>276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A3B594-7502-8BA1-9F2F-3C91F523EC6D}"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8" width="9.140625"/>
    <col min="2" max="2" style="1698" width="65.28125" customWidth="1"/>
  </cols>
  <sheetData>
    <row customHeight="1" ht="11.25">
      <c r="A1" s="842" t="s">
        <v>3417</v>
      </c>
      <c r="B1" s="842" t="s">
        <v>3419</v>
      </c>
    </row>
    <row customHeight="1" ht="11.25">
      <c r="A2" s="842" t="s">
        <v>3420</v>
      </c>
      <c r="B2" s="842" t="s">
        <v>309</v>
      </c>
    </row>
    <row customHeight="1" ht="11.25">
      <c r="A3" s="842" t="s">
        <v>3421</v>
      </c>
      <c r="B3" s="842" t="s">
        <v>1668</v>
      </c>
    </row>
    <row customHeight="1" ht="11.25">
      <c r="A4" s="842" t="s">
        <v>3422</v>
      </c>
      <c r="B4" s="842" t="s">
        <v>1676</v>
      </c>
    </row>
    <row customHeight="1" ht="11.25">
      <c r="A5" s="842" t="s">
        <v>3423</v>
      </c>
      <c r="B5" s="842" t="s">
        <v>1685</v>
      </c>
    </row>
    <row customHeight="1" ht="11.25">
      <c r="A6" s="842" t="s">
        <v>3424</v>
      </c>
      <c r="B6" s="842" t="s">
        <v>1690</v>
      </c>
    </row>
    <row customHeight="1" ht="11.25">
      <c r="A7" s="842" t="s">
        <v>3425</v>
      </c>
      <c r="B7" s="842" t="s">
        <v>1698</v>
      </c>
    </row>
    <row customHeight="1" ht="11.25">
      <c r="A8" s="842" t="s">
        <v>3426</v>
      </c>
      <c r="B8" s="842" t="s">
        <v>1705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D38AA3-DC1E-5D14-0FA5-528076B0EACD}" mc:Ignorable="x14ac xr xr2 xr3">
  <sheetPr>
    <tabColor rgb="FFFFCC99"/>
  </sheetPr>
  <dimension ref="A1:G211"/>
  <sheetViews>
    <sheetView topLeftCell="A1" showGridLines="0" workbookViewId="0">
      <selection activeCell="A1" sqref="A1"/>
    </sheetView>
  </sheetViews>
  <sheetFormatPr customHeight="1" defaultRowHeight="11.25"/>
  <sheetData>
    <row customHeight="1" ht="11.25">
      <c r="A1" s="380" t="s">
        <v>2861</v>
      </c>
      <c r="B1" s="380" t="s">
        <v>2862</v>
      </c>
      <c r="C1" s="380" t="s">
        <v>2863</v>
      </c>
      <c r="D1" s="380" t="s">
        <v>2864</v>
      </c>
      <c r="E1" s="0" t="s">
        <v>2865</v>
      </c>
      <c r="F1" s="0" t="s">
        <v>2866</v>
      </c>
      <c r="G1" s="0" t="s">
        <v>2867</v>
      </c>
    </row>
    <row customHeight="1" ht="11.25">
      <c r="A2" s="0" t="s">
        <v>16</v>
      </c>
      <c r="B2" s="0" t="s">
        <v>109</v>
      </c>
      <c r="C2" s="0" t="s">
        <v>110</v>
      </c>
      <c r="D2" s="0" t="s">
        <v>109</v>
      </c>
      <c r="E2" s="0" t="s">
        <v>110</v>
      </c>
      <c r="F2" s="0" t="s">
        <v>2868</v>
      </c>
      <c r="G2" s="0" t="s">
        <v>108</v>
      </c>
    </row>
    <row customHeight="1" ht="11.25">
      <c r="A3" s="0" t="s">
        <v>16</v>
      </c>
      <c r="B3" s="0" t="s">
        <v>100</v>
      </c>
      <c r="C3" s="0" t="s">
        <v>101</v>
      </c>
      <c r="D3" s="0" t="s">
        <v>2870</v>
      </c>
      <c r="E3" s="0" t="s">
        <v>2871</v>
      </c>
      <c r="F3" s="0" t="s">
        <v>2872</v>
      </c>
      <c r="G3" s="0" t="s">
        <v>90</v>
      </c>
    </row>
    <row customHeight="1" ht="11.25">
      <c r="A4" s="0" t="s">
        <v>16</v>
      </c>
      <c r="B4" s="0" t="s">
        <v>100</v>
      </c>
      <c r="C4" s="0" t="s">
        <v>101</v>
      </c>
      <c r="D4" s="0" t="s">
        <v>2873</v>
      </c>
      <c r="E4" s="0" t="s">
        <v>2874</v>
      </c>
      <c r="F4" s="0" t="s">
        <v>2872</v>
      </c>
      <c r="G4" s="0" t="s">
        <v>91</v>
      </c>
    </row>
    <row customHeight="1" ht="11.25">
      <c r="A5" s="0" t="s">
        <v>16</v>
      </c>
      <c r="B5" s="0" t="s">
        <v>100</v>
      </c>
      <c r="C5" s="0" t="s">
        <v>101</v>
      </c>
      <c r="D5" s="0" t="s">
        <v>2875</v>
      </c>
      <c r="E5" s="0" t="s">
        <v>2876</v>
      </c>
      <c r="F5" s="0" t="s">
        <v>2872</v>
      </c>
      <c r="G5" s="0" t="s">
        <v>119</v>
      </c>
    </row>
    <row customHeight="1" ht="11.25">
      <c r="A6" s="0" t="s">
        <v>16</v>
      </c>
      <c r="B6" s="0" t="s">
        <v>100</v>
      </c>
      <c r="C6" s="0" t="s">
        <v>101</v>
      </c>
      <c r="D6" s="0" t="s">
        <v>2877</v>
      </c>
      <c r="E6" s="0" t="s">
        <v>2878</v>
      </c>
      <c r="F6" s="0" t="s">
        <v>2872</v>
      </c>
      <c r="G6" s="0" t="s">
        <v>92</v>
      </c>
    </row>
    <row customHeight="1" ht="11.25">
      <c r="A7" s="0" t="s">
        <v>16</v>
      </c>
      <c r="B7" s="0" t="s">
        <v>100</v>
      </c>
      <c r="C7" s="0" t="s">
        <v>101</v>
      </c>
      <c r="D7" s="0" t="s">
        <v>2879</v>
      </c>
      <c r="E7" s="0" t="s">
        <v>2880</v>
      </c>
      <c r="F7" s="0" t="s">
        <v>2872</v>
      </c>
      <c r="G7" s="0" t="s">
        <v>93</v>
      </c>
    </row>
    <row customHeight="1" ht="11.25">
      <c r="A8" s="0" t="s">
        <v>16</v>
      </c>
      <c r="B8" s="0" t="s">
        <v>100</v>
      </c>
      <c r="C8" s="0" t="s">
        <v>101</v>
      </c>
      <c r="D8" s="0" t="s">
        <v>2881</v>
      </c>
      <c r="E8" s="0" t="s">
        <v>2882</v>
      </c>
      <c r="F8" s="0" t="s">
        <v>2872</v>
      </c>
      <c r="G8" s="0" t="s">
        <v>132</v>
      </c>
    </row>
    <row customHeight="1" ht="11.25">
      <c r="A9" s="0" t="s">
        <v>16</v>
      </c>
      <c r="B9" s="0" t="s">
        <v>100</v>
      </c>
      <c r="C9" s="0" t="s">
        <v>101</v>
      </c>
      <c r="D9" s="0" t="s">
        <v>2883</v>
      </c>
      <c r="E9" s="0" t="s">
        <v>2884</v>
      </c>
      <c r="F9" s="0" t="s">
        <v>2872</v>
      </c>
      <c r="G9" s="0" t="s">
        <v>137</v>
      </c>
    </row>
    <row customHeight="1" ht="11.25">
      <c r="A10" s="0" t="s">
        <v>16</v>
      </c>
      <c r="B10" s="0" t="s">
        <v>100</v>
      </c>
      <c r="C10" s="0" t="s">
        <v>101</v>
      </c>
      <c r="D10" s="0" t="s">
        <v>2885</v>
      </c>
      <c r="E10" s="0" t="s">
        <v>2886</v>
      </c>
      <c r="F10" s="0" t="s">
        <v>2872</v>
      </c>
      <c r="G10" s="0" t="s">
        <v>142</v>
      </c>
    </row>
    <row customHeight="1" ht="11.25">
      <c r="A11" s="0" t="s">
        <v>16</v>
      </c>
      <c r="B11" s="0" t="s">
        <v>100</v>
      </c>
      <c r="C11" s="0" t="s">
        <v>101</v>
      </c>
      <c r="D11" s="0" t="s">
        <v>2887</v>
      </c>
      <c r="E11" s="0" t="s">
        <v>2888</v>
      </c>
      <c r="F11" s="0" t="s">
        <v>2872</v>
      </c>
      <c r="G11" s="0" t="s">
        <v>147</v>
      </c>
    </row>
    <row customHeight="1" ht="11.25">
      <c r="A12" s="0" t="s">
        <v>16</v>
      </c>
      <c r="B12" s="0" t="s">
        <v>100</v>
      </c>
      <c r="C12" s="0" t="s">
        <v>101</v>
      </c>
      <c r="D12" s="0" t="s">
        <v>2889</v>
      </c>
      <c r="E12" s="0" t="s">
        <v>2890</v>
      </c>
      <c r="F12" s="0" t="s">
        <v>2872</v>
      </c>
      <c r="G12" s="0" t="s">
        <v>152</v>
      </c>
    </row>
    <row customHeight="1" ht="11.25">
      <c r="A13" s="0" t="s">
        <v>16</v>
      </c>
      <c r="B13" s="0" t="s">
        <v>100</v>
      </c>
      <c r="C13" s="0" t="s">
        <v>101</v>
      </c>
      <c r="D13" s="0" t="s">
        <v>2891</v>
      </c>
      <c r="E13" s="0" t="s">
        <v>2892</v>
      </c>
      <c r="F13" s="0" t="s">
        <v>2872</v>
      </c>
      <c r="G13" s="0" t="s">
        <v>157</v>
      </c>
    </row>
    <row customHeight="1" ht="11.25">
      <c r="A14" s="0" t="s">
        <v>16</v>
      </c>
      <c r="B14" s="0" t="s">
        <v>100</v>
      </c>
      <c r="C14" s="0" t="s">
        <v>101</v>
      </c>
      <c r="D14" s="0" t="s">
        <v>2893</v>
      </c>
      <c r="E14" s="0" t="s">
        <v>2894</v>
      </c>
      <c r="F14" s="0" t="s">
        <v>2872</v>
      </c>
      <c r="G14" s="0" t="s">
        <v>162</v>
      </c>
    </row>
    <row customHeight="1" ht="11.25">
      <c r="A15" s="0" t="s">
        <v>16</v>
      </c>
      <c r="B15" s="0" t="s">
        <v>100</v>
      </c>
      <c r="C15" s="0" t="s">
        <v>101</v>
      </c>
      <c r="D15" s="0" t="s">
        <v>2895</v>
      </c>
      <c r="E15" s="0" t="s">
        <v>2896</v>
      </c>
      <c r="F15" s="0" t="s">
        <v>2872</v>
      </c>
      <c r="G15" s="0" t="s">
        <v>167</v>
      </c>
    </row>
    <row customHeight="1" ht="11.25">
      <c r="A16" s="0" t="s">
        <v>16</v>
      </c>
      <c r="B16" s="0" t="s">
        <v>100</v>
      </c>
      <c r="C16" s="0" t="s">
        <v>101</v>
      </c>
      <c r="D16" s="0" t="s">
        <v>2897</v>
      </c>
      <c r="E16" s="0" t="s">
        <v>2898</v>
      </c>
      <c r="F16" s="0" t="s">
        <v>2872</v>
      </c>
      <c r="G16" s="0" t="s">
        <v>172</v>
      </c>
    </row>
    <row customHeight="1" ht="11.25">
      <c r="A17" s="0" t="s">
        <v>16</v>
      </c>
      <c r="B17" s="0" t="s">
        <v>100</v>
      </c>
      <c r="C17" s="0" t="s">
        <v>101</v>
      </c>
      <c r="D17" s="0" t="s">
        <v>2899</v>
      </c>
      <c r="E17" s="0" t="s">
        <v>2900</v>
      </c>
      <c r="F17" s="0" t="s">
        <v>2872</v>
      </c>
      <c r="G17" s="0" t="s">
        <v>177</v>
      </c>
    </row>
    <row customHeight="1" ht="11.25">
      <c r="A18" s="0" t="s">
        <v>16</v>
      </c>
      <c r="B18" s="0" t="s">
        <v>100</v>
      </c>
      <c r="C18" s="0" t="s">
        <v>101</v>
      </c>
      <c r="D18" s="0" t="s">
        <v>2901</v>
      </c>
      <c r="E18" s="0" t="s">
        <v>2902</v>
      </c>
      <c r="F18" s="0" t="s">
        <v>2872</v>
      </c>
      <c r="G18" s="0" t="s">
        <v>182</v>
      </c>
    </row>
    <row customHeight="1" ht="11.25">
      <c r="A19" s="0" t="s">
        <v>16</v>
      </c>
      <c r="B19" s="0" t="s">
        <v>100</v>
      </c>
      <c r="C19" s="0" t="s">
        <v>101</v>
      </c>
      <c r="D19" s="0" t="s">
        <v>2903</v>
      </c>
      <c r="E19" s="0" t="s">
        <v>2904</v>
      </c>
      <c r="F19" s="0" t="s">
        <v>2872</v>
      </c>
      <c r="G19" s="0" t="s">
        <v>184</v>
      </c>
    </row>
    <row customHeight="1" ht="11.25">
      <c r="A20" s="0" t="s">
        <v>16</v>
      </c>
      <c r="B20" s="0" t="s">
        <v>100</v>
      </c>
      <c r="C20" s="0" t="s">
        <v>101</v>
      </c>
      <c r="D20" s="0" t="s">
        <v>2905</v>
      </c>
      <c r="E20" s="0" t="s">
        <v>2906</v>
      </c>
      <c r="F20" s="0" t="s">
        <v>2872</v>
      </c>
      <c r="G20" s="0" t="s">
        <v>190</v>
      </c>
    </row>
    <row customHeight="1" ht="11.25">
      <c r="A21" s="0" t="s">
        <v>16</v>
      </c>
      <c r="B21" s="0" t="s">
        <v>100</v>
      </c>
      <c r="C21" s="0" t="s">
        <v>101</v>
      </c>
      <c r="D21" s="0" t="s">
        <v>2907</v>
      </c>
      <c r="E21" s="0" t="s">
        <v>2908</v>
      </c>
      <c r="F21" s="0" t="s">
        <v>2872</v>
      </c>
      <c r="G21" s="0" t="s">
        <v>194</v>
      </c>
    </row>
    <row customHeight="1" ht="11.25">
      <c r="A22" s="0" t="s">
        <v>16</v>
      </c>
      <c r="B22" s="0" t="s">
        <v>100</v>
      </c>
      <c r="C22" s="0" t="s">
        <v>101</v>
      </c>
      <c r="D22" s="0" t="s">
        <v>2909</v>
      </c>
      <c r="E22" s="0" t="s">
        <v>2910</v>
      </c>
      <c r="F22" s="0" t="s">
        <v>2872</v>
      </c>
      <c r="G22" s="0" t="s">
        <v>1693</v>
      </c>
    </row>
    <row customHeight="1" ht="11.25">
      <c r="A23" s="0" t="s">
        <v>16</v>
      </c>
      <c r="B23" s="0" t="s">
        <v>100</v>
      </c>
      <c r="C23" s="0" t="s">
        <v>101</v>
      </c>
      <c r="D23" s="0" t="s">
        <v>2911</v>
      </c>
      <c r="E23" s="0" t="s">
        <v>2912</v>
      </c>
      <c r="F23" s="0" t="s">
        <v>2872</v>
      </c>
      <c r="G23" s="0" t="s">
        <v>1701</v>
      </c>
    </row>
    <row customHeight="1" ht="11.25">
      <c r="A24" s="0" t="s">
        <v>16</v>
      </c>
      <c r="B24" s="0" t="s">
        <v>100</v>
      </c>
      <c r="C24" s="0" t="s">
        <v>101</v>
      </c>
      <c r="D24" s="0" t="s">
        <v>2913</v>
      </c>
      <c r="E24" s="0" t="s">
        <v>2914</v>
      </c>
      <c r="F24" s="0" t="s">
        <v>2915</v>
      </c>
      <c r="G24" s="0" t="s">
        <v>1708</v>
      </c>
    </row>
    <row customHeight="1" ht="11.25">
      <c r="A25" s="0" t="s">
        <v>16</v>
      </c>
      <c r="B25" s="0" t="s">
        <v>100</v>
      </c>
      <c r="C25" s="0" t="s">
        <v>101</v>
      </c>
      <c r="D25" s="0" t="s">
        <v>2916</v>
      </c>
      <c r="E25" s="0" t="s">
        <v>2917</v>
      </c>
      <c r="F25" s="0" t="s">
        <v>2915</v>
      </c>
      <c r="G25" s="0" t="s">
        <v>1712</v>
      </c>
    </row>
    <row customHeight="1" ht="11.25">
      <c r="A26" s="0" t="s">
        <v>16</v>
      </c>
      <c r="B26" s="0" t="s">
        <v>100</v>
      </c>
      <c r="C26" s="0" t="s">
        <v>101</v>
      </c>
      <c r="D26" s="0" t="s">
        <v>2918</v>
      </c>
      <c r="E26" s="0" t="s">
        <v>2919</v>
      </c>
      <c r="F26" s="0" t="s">
        <v>2915</v>
      </c>
      <c r="G26" s="0" t="s">
        <v>1717</v>
      </c>
    </row>
    <row customHeight="1" ht="11.25">
      <c r="A27" s="0" t="s">
        <v>16</v>
      </c>
      <c r="B27" s="0" t="s">
        <v>113</v>
      </c>
      <c r="C27" s="0" t="s">
        <v>114</v>
      </c>
      <c r="D27" s="0" t="s">
        <v>2920</v>
      </c>
      <c r="E27" s="0" t="s">
        <v>2921</v>
      </c>
      <c r="F27" s="0" t="s">
        <v>2872</v>
      </c>
      <c r="G27" s="0" t="s">
        <v>1725</v>
      </c>
    </row>
    <row customHeight="1" ht="11.25">
      <c r="A28" s="0" t="s">
        <v>16</v>
      </c>
      <c r="B28" s="0" t="s">
        <v>113</v>
      </c>
      <c r="C28" s="0" t="s">
        <v>114</v>
      </c>
      <c r="D28" s="0" t="s">
        <v>2922</v>
      </c>
      <c r="E28" s="0" t="s">
        <v>2923</v>
      </c>
      <c r="F28" s="0" t="s">
        <v>2872</v>
      </c>
      <c r="G28" s="0" t="s">
        <v>1727</v>
      </c>
    </row>
    <row customHeight="1" ht="11.25">
      <c r="A29" s="0" t="s">
        <v>16</v>
      </c>
      <c r="B29" s="0" t="s">
        <v>113</v>
      </c>
      <c r="C29" s="0" t="s">
        <v>114</v>
      </c>
      <c r="D29" s="0" t="s">
        <v>2924</v>
      </c>
      <c r="E29" s="0" t="s">
        <v>2925</v>
      </c>
      <c r="F29" s="0" t="s">
        <v>2872</v>
      </c>
      <c r="G29" s="0" t="s">
        <v>1730</v>
      </c>
    </row>
    <row customHeight="1" ht="11.25">
      <c r="A30" s="0" t="s">
        <v>16</v>
      </c>
      <c r="B30" s="0" t="s">
        <v>113</v>
      </c>
      <c r="C30" s="0" t="s">
        <v>114</v>
      </c>
      <c r="D30" s="0" t="s">
        <v>113</v>
      </c>
      <c r="E30" s="0" t="s">
        <v>114</v>
      </c>
      <c r="F30" s="0" t="s">
        <v>2869</v>
      </c>
      <c r="G30" s="0" t="s">
        <v>112</v>
      </c>
    </row>
    <row customHeight="1" ht="11.25">
      <c r="A31" s="0" t="s">
        <v>16</v>
      </c>
      <c r="B31" s="0" t="s">
        <v>113</v>
      </c>
      <c r="C31" s="0" t="s">
        <v>114</v>
      </c>
      <c r="D31" s="0" t="s">
        <v>2926</v>
      </c>
      <c r="E31" s="0" t="s">
        <v>2927</v>
      </c>
      <c r="F31" s="0" t="s">
        <v>2872</v>
      </c>
      <c r="G31" s="0" t="s">
        <v>1737</v>
      </c>
    </row>
    <row customHeight="1" ht="11.25">
      <c r="A32" s="0" t="s">
        <v>16</v>
      </c>
      <c r="B32" s="0" t="s">
        <v>113</v>
      </c>
      <c r="C32" s="0" t="s">
        <v>114</v>
      </c>
      <c r="D32" s="0" t="s">
        <v>2928</v>
      </c>
      <c r="E32" s="0" t="s">
        <v>2929</v>
      </c>
      <c r="F32" s="0" t="s">
        <v>2872</v>
      </c>
      <c r="G32" s="0" t="s">
        <v>1739</v>
      </c>
    </row>
    <row customHeight="1" ht="11.25">
      <c r="A33" s="0" t="s">
        <v>16</v>
      </c>
      <c r="B33" s="0" t="s">
        <v>113</v>
      </c>
      <c r="C33" s="0" t="s">
        <v>114</v>
      </c>
      <c r="D33" s="0" t="s">
        <v>2930</v>
      </c>
      <c r="E33" s="0" t="s">
        <v>2931</v>
      </c>
      <c r="F33" s="0" t="s">
        <v>2872</v>
      </c>
      <c r="G33" s="0" t="s">
        <v>1741</v>
      </c>
    </row>
    <row customHeight="1" ht="11.25">
      <c r="A34" s="0" t="s">
        <v>16</v>
      </c>
      <c r="B34" s="0" t="s">
        <v>113</v>
      </c>
      <c r="C34" s="0" t="s">
        <v>114</v>
      </c>
      <c r="D34" s="0" t="s">
        <v>2932</v>
      </c>
      <c r="E34" s="0" t="s">
        <v>2933</v>
      </c>
      <c r="F34" s="0" t="s">
        <v>2872</v>
      </c>
      <c r="G34" s="0" t="s">
        <v>1746</v>
      </c>
    </row>
    <row customHeight="1" ht="11.25">
      <c r="A35" s="0" t="s">
        <v>16</v>
      </c>
      <c r="B35" s="0" t="s">
        <v>113</v>
      </c>
      <c r="C35" s="0" t="s">
        <v>114</v>
      </c>
      <c r="D35" s="0" t="s">
        <v>2934</v>
      </c>
      <c r="E35" s="0" t="s">
        <v>2935</v>
      </c>
      <c r="F35" s="0" t="s">
        <v>2872</v>
      </c>
      <c r="G35" s="0" t="s">
        <v>1751</v>
      </c>
    </row>
    <row customHeight="1" ht="11.25">
      <c r="A36" s="0" t="s">
        <v>16</v>
      </c>
      <c r="B36" s="0" t="s">
        <v>113</v>
      </c>
      <c r="C36" s="0" t="s">
        <v>114</v>
      </c>
      <c r="D36" s="0" t="s">
        <v>2936</v>
      </c>
      <c r="E36" s="0" t="s">
        <v>2937</v>
      </c>
      <c r="F36" s="0" t="s">
        <v>2872</v>
      </c>
      <c r="G36" s="0" t="s">
        <v>1755</v>
      </c>
    </row>
    <row customHeight="1" ht="11.25">
      <c r="A37" s="0" t="s">
        <v>16</v>
      </c>
      <c r="B37" s="0" t="s">
        <v>113</v>
      </c>
      <c r="C37" s="0" t="s">
        <v>114</v>
      </c>
      <c r="D37" s="0" t="s">
        <v>2938</v>
      </c>
      <c r="E37" s="0" t="s">
        <v>2939</v>
      </c>
      <c r="F37" s="0" t="s">
        <v>2915</v>
      </c>
      <c r="G37" s="0" t="s">
        <v>1763</v>
      </c>
    </row>
    <row customHeight="1" ht="11.25">
      <c r="A38" s="0" t="s">
        <v>16</v>
      </c>
      <c r="B38" s="0" t="s">
        <v>117</v>
      </c>
      <c r="C38" s="0" t="s">
        <v>118</v>
      </c>
      <c r="D38" s="0" t="s">
        <v>117</v>
      </c>
      <c r="E38" s="0" t="s">
        <v>118</v>
      </c>
      <c r="F38" s="0" t="s">
        <v>2868</v>
      </c>
      <c r="G38" s="0" t="s">
        <v>116</v>
      </c>
    </row>
    <row customHeight="1" ht="11.25">
      <c r="A39" s="0" t="s">
        <v>16</v>
      </c>
      <c r="B39" s="0" t="s">
        <v>122</v>
      </c>
      <c r="C39" s="0" t="s">
        <v>123</v>
      </c>
      <c r="D39" s="0" t="s">
        <v>2940</v>
      </c>
      <c r="E39" s="0" t="s">
        <v>2941</v>
      </c>
      <c r="F39" s="0" t="s">
        <v>2872</v>
      </c>
      <c r="G39" s="0" t="s">
        <v>1773</v>
      </c>
    </row>
    <row customHeight="1" ht="11.25">
      <c r="A40" s="0" t="s">
        <v>16</v>
      </c>
      <c r="B40" s="0" t="s">
        <v>122</v>
      </c>
      <c r="C40" s="0" t="s">
        <v>123</v>
      </c>
      <c r="D40" s="0" t="s">
        <v>2942</v>
      </c>
      <c r="E40" s="0" t="s">
        <v>2943</v>
      </c>
      <c r="F40" s="0" t="s">
        <v>2872</v>
      </c>
      <c r="G40" s="0" t="s">
        <v>1777</v>
      </c>
    </row>
    <row customHeight="1" ht="11.25">
      <c r="A41" s="0" t="s">
        <v>16</v>
      </c>
      <c r="B41" s="0" t="s">
        <v>122</v>
      </c>
      <c r="C41" s="0" t="s">
        <v>123</v>
      </c>
      <c r="D41" s="0" t="s">
        <v>122</v>
      </c>
      <c r="E41" s="0" t="s">
        <v>123</v>
      </c>
      <c r="F41" s="0" t="s">
        <v>2869</v>
      </c>
      <c r="G41" s="0" t="s">
        <v>121</v>
      </c>
    </row>
    <row customHeight="1" ht="11.25">
      <c r="A42" s="0" t="s">
        <v>16</v>
      </c>
      <c r="B42" s="0" t="s">
        <v>122</v>
      </c>
      <c r="C42" s="0" t="s">
        <v>123</v>
      </c>
      <c r="D42" s="0" t="s">
        <v>2944</v>
      </c>
      <c r="E42" s="0" t="s">
        <v>2945</v>
      </c>
      <c r="F42" s="0" t="s">
        <v>2872</v>
      </c>
      <c r="G42" s="0" t="s">
        <v>1786</v>
      </c>
    </row>
    <row customHeight="1" ht="11.25">
      <c r="A43" s="0" t="s">
        <v>16</v>
      </c>
      <c r="B43" s="0" t="s">
        <v>122</v>
      </c>
      <c r="C43" s="0" t="s">
        <v>123</v>
      </c>
      <c r="D43" s="0" t="s">
        <v>2946</v>
      </c>
      <c r="E43" s="0" t="s">
        <v>2947</v>
      </c>
      <c r="F43" s="0" t="s">
        <v>2872</v>
      </c>
      <c r="G43" s="0" t="s">
        <v>1795</v>
      </c>
    </row>
    <row customHeight="1" ht="11.25">
      <c r="A44" s="0" t="s">
        <v>16</v>
      </c>
      <c r="B44" s="0" t="s">
        <v>122</v>
      </c>
      <c r="C44" s="0" t="s">
        <v>123</v>
      </c>
      <c r="D44" s="0" t="s">
        <v>2948</v>
      </c>
      <c r="E44" s="0" t="s">
        <v>2949</v>
      </c>
      <c r="F44" s="0" t="s">
        <v>2872</v>
      </c>
      <c r="G44" s="0" t="s">
        <v>1800</v>
      </c>
    </row>
    <row customHeight="1" ht="11.25">
      <c r="A45" s="0" t="s">
        <v>16</v>
      </c>
      <c r="B45" s="0" t="s">
        <v>122</v>
      </c>
      <c r="C45" s="0" t="s">
        <v>123</v>
      </c>
      <c r="D45" s="0" t="s">
        <v>2950</v>
      </c>
      <c r="E45" s="0" t="s">
        <v>2951</v>
      </c>
      <c r="F45" s="0" t="s">
        <v>2872</v>
      </c>
      <c r="G45" s="0" t="s">
        <v>1804</v>
      </c>
    </row>
    <row customHeight="1" ht="11.25">
      <c r="A46" s="0" t="s">
        <v>16</v>
      </c>
      <c r="B46" s="0" t="s">
        <v>122</v>
      </c>
      <c r="C46" s="0" t="s">
        <v>123</v>
      </c>
      <c r="D46" s="0" t="s">
        <v>2952</v>
      </c>
      <c r="E46" s="0" t="s">
        <v>2953</v>
      </c>
      <c r="F46" s="0" t="s">
        <v>2872</v>
      </c>
      <c r="G46" s="0" t="s">
        <v>1810</v>
      </c>
    </row>
    <row customHeight="1" ht="11.25">
      <c r="A47" s="0" t="s">
        <v>16</v>
      </c>
      <c r="B47" s="0" t="s">
        <v>122</v>
      </c>
      <c r="C47" s="0" t="s">
        <v>123</v>
      </c>
      <c r="D47" s="0" t="s">
        <v>2954</v>
      </c>
      <c r="E47" s="0" t="s">
        <v>2955</v>
      </c>
      <c r="F47" s="0" t="s">
        <v>2872</v>
      </c>
      <c r="G47" s="0" t="s">
        <v>1815</v>
      </c>
    </row>
    <row customHeight="1" ht="11.25">
      <c r="A48" s="0" t="s">
        <v>16</v>
      </c>
      <c r="B48" s="0" t="s">
        <v>122</v>
      </c>
      <c r="C48" s="0" t="s">
        <v>123</v>
      </c>
      <c r="D48" s="0" t="s">
        <v>2956</v>
      </c>
      <c r="E48" s="0" t="s">
        <v>2957</v>
      </c>
      <c r="F48" s="0" t="s">
        <v>2872</v>
      </c>
      <c r="G48" s="0" t="s">
        <v>1818</v>
      </c>
    </row>
    <row customHeight="1" ht="11.25">
      <c r="A49" s="0" t="s">
        <v>16</v>
      </c>
      <c r="B49" s="0" t="s">
        <v>122</v>
      </c>
      <c r="C49" s="0" t="s">
        <v>123</v>
      </c>
      <c r="D49" s="0" t="s">
        <v>2958</v>
      </c>
      <c r="E49" s="0" t="s">
        <v>2959</v>
      </c>
      <c r="F49" s="0" t="s">
        <v>2872</v>
      </c>
      <c r="G49" s="0" t="s">
        <v>1821</v>
      </c>
    </row>
    <row customHeight="1" ht="11.25">
      <c r="A50" s="0" t="s">
        <v>16</v>
      </c>
      <c r="B50" s="0" t="s">
        <v>122</v>
      </c>
      <c r="C50" s="0" t="s">
        <v>123</v>
      </c>
      <c r="D50" s="0" t="s">
        <v>2960</v>
      </c>
      <c r="E50" s="0" t="s">
        <v>2961</v>
      </c>
      <c r="F50" s="0" t="s">
        <v>2872</v>
      </c>
      <c r="G50" s="0" t="s">
        <v>1826</v>
      </c>
    </row>
    <row customHeight="1" ht="11.25">
      <c r="A51" s="0" t="s">
        <v>16</v>
      </c>
      <c r="B51" s="0" t="s">
        <v>122</v>
      </c>
      <c r="C51" s="0" t="s">
        <v>123</v>
      </c>
      <c r="D51" s="0" t="s">
        <v>2962</v>
      </c>
      <c r="E51" s="0" t="s">
        <v>2963</v>
      </c>
      <c r="F51" s="0" t="s">
        <v>2915</v>
      </c>
      <c r="G51" s="0" t="s">
        <v>1830</v>
      </c>
    </row>
    <row customHeight="1" ht="11.25">
      <c r="A52" s="0" t="s">
        <v>16</v>
      </c>
      <c r="B52" s="0" t="s">
        <v>126</v>
      </c>
      <c r="C52" s="0" t="s">
        <v>127</v>
      </c>
      <c r="D52" s="0" t="s">
        <v>2964</v>
      </c>
      <c r="E52" s="0" t="s">
        <v>2965</v>
      </c>
      <c r="F52" s="0" t="s">
        <v>2872</v>
      </c>
      <c r="G52" s="0" t="s">
        <v>1832</v>
      </c>
    </row>
    <row customHeight="1" ht="11.25">
      <c r="A53" s="0" t="s">
        <v>16</v>
      </c>
      <c r="B53" s="0" t="s">
        <v>126</v>
      </c>
      <c r="C53" s="0" t="s">
        <v>127</v>
      </c>
      <c r="D53" s="0" t="s">
        <v>126</v>
      </c>
      <c r="E53" s="0" t="s">
        <v>127</v>
      </c>
      <c r="F53" s="0" t="s">
        <v>2869</v>
      </c>
      <c r="G53" s="0" t="s">
        <v>125</v>
      </c>
    </row>
    <row customHeight="1" ht="11.25">
      <c r="A54" s="0" t="s">
        <v>16</v>
      </c>
      <c r="B54" s="0" t="s">
        <v>126</v>
      </c>
      <c r="C54" s="0" t="s">
        <v>127</v>
      </c>
      <c r="D54" s="0" t="s">
        <v>2966</v>
      </c>
      <c r="E54" s="0" t="s">
        <v>2967</v>
      </c>
      <c r="F54" s="0" t="s">
        <v>2872</v>
      </c>
      <c r="G54" s="0" t="s">
        <v>1839</v>
      </c>
    </row>
    <row customHeight="1" ht="11.25">
      <c r="A55" s="0" t="s">
        <v>16</v>
      </c>
      <c r="B55" s="0" t="s">
        <v>126</v>
      </c>
      <c r="C55" s="0" t="s">
        <v>127</v>
      </c>
      <c r="D55" s="0" t="s">
        <v>2968</v>
      </c>
      <c r="E55" s="0" t="s">
        <v>2969</v>
      </c>
      <c r="F55" s="0" t="s">
        <v>2872</v>
      </c>
      <c r="G55" s="0" t="s">
        <v>1842</v>
      </c>
    </row>
    <row customHeight="1" ht="11.25">
      <c r="A56" s="0" t="s">
        <v>16</v>
      </c>
      <c r="B56" s="0" t="s">
        <v>126</v>
      </c>
      <c r="C56" s="0" t="s">
        <v>127</v>
      </c>
      <c r="D56" s="0" t="s">
        <v>2970</v>
      </c>
      <c r="E56" s="0" t="s">
        <v>2971</v>
      </c>
      <c r="F56" s="0" t="s">
        <v>2872</v>
      </c>
      <c r="G56" s="0" t="s">
        <v>1845</v>
      </c>
    </row>
    <row customHeight="1" ht="11.25">
      <c r="A57" s="0" t="s">
        <v>16</v>
      </c>
      <c r="B57" s="0" t="s">
        <v>126</v>
      </c>
      <c r="C57" s="0" t="s">
        <v>127</v>
      </c>
      <c r="D57" s="0" t="s">
        <v>2972</v>
      </c>
      <c r="E57" s="0" t="s">
        <v>2973</v>
      </c>
      <c r="F57" s="0" t="s">
        <v>2872</v>
      </c>
      <c r="G57" s="0" t="s">
        <v>1848</v>
      </c>
    </row>
    <row customHeight="1" ht="11.25">
      <c r="A58" s="0" t="s">
        <v>16</v>
      </c>
      <c r="B58" s="0" t="s">
        <v>126</v>
      </c>
      <c r="C58" s="0" t="s">
        <v>127</v>
      </c>
      <c r="D58" s="0" t="s">
        <v>2974</v>
      </c>
      <c r="E58" s="0" t="s">
        <v>2975</v>
      </c>
      <c r="F58" s="0" t="s">
        <v>2872</v>
      </c>
      <c r="G58" s="0" t="s">
        <v>1852</v>
      </c>
    </row>
    <row customHeight="1" ht="11.25">
      <c r="A59" s="0" t="s">
        <v>16</v>
      </c>
      <c r="B59" s="0" t="s">
        <v>126</v>
      </c>
      <c r="C59" s="0" t="s">
        <v>127</v>
      </c>
      <c r="D59" s="0" t="s">
        <v>2976</v>
      </c>
      <c r="E59" s="0" t="s">
        <v>2977</v>
      </c>
      <c r="F59" s="0" t="s">
        <v>2915</v>
      </c>
      <c r="G59" s="0" t="s">
        <v>1855</v>
      </c>
    </row>
    <row customHeight="1" ht="11.25">
      <c r="A60" s="0" t="s">
        <v>16</v>
      </c>
      <c r="B60" s="0" t="s">
        <v>126</v>
      </c>
      <c r="C60" s="0" t="s">
        <v>127</v>
      </c>
      <c r="D60" s="0" t="s">
        <v>2978</v>
      </c>
      <c r="E60" s="0" t="s">
        <v>2979</v>
      </c>
      <c r="F60" s="0" t="s">
        <v>2872</v>
      </c>
      <c r="G60" s="0" t="s">
        <v>2980</v>
      </c>
    </row>
    <row customHeight="1" ht="11.25">
      <c r="A61" s="0" t="s">
        <v>16</v>
      </c>
      <c r="B61" s="0" t="s">
        <v>126</v>
      </c>
      <c r="C61" s="0" t="s">
        <v>127</v>
      </c>
      <c r="D61" s="0" t="s">
        <v>2981</v>
      </c>
      <c r="E61" s="0" t="s">
        <v>2982</v>
      </c>
      <c r="F61" s="0" t="s">
        <v>2872</v>
      </c>
      <c r="G61" s="0" t="s">
        <v>2983</v>
      </c>
    </row>
    <row customHeight="1" ht="11.25">
      <c r="A62" s="0" t="s">
        <v>16</v>
      </c>
      <c r="B62" s="0" t="s">
        <v>126</v>
      </c>
      <c r="C62" s="0" t="s">
        <v>127</v>
      </c>
      <c r="D62" s="0" t="s">
        <v>2984</v>
      </c>
      <c r="E62" s="0" t="s">
        <v>2985</v>
      </c>
      <c r="F62" s="0" t="s">
        <v>2872</v>
      </c>
      <c r="G62" s="0" t="s">
        <v>2986</v>
      </c>
    </row>
    <row customHeight="1" ht="11.25">
      <c r="A63" s="0" t="s">
        <v>16</v>
      </c>
      <c r="B63" s="0" t="s">
        <v>126</v>
      </c>
      <c r="C63" s="0" t="s">
        <v>127</v>
      </c>
      <c r="D63" s="0" t="s">
        <v>2987</v>
      </c>
      <c r="E63" s="0" t="s">
        <v>2988</v>
      </c>
      <c r="F63" s="0" t="s">
        <v>2872</v>
      </c>
      <c r="G63" s="0" t="s">
        <v>2989</v>
      </c>
    </row>
    <row customHeight="1" ht="11.25">
      <c r="A64" s="0" t="s">
        <v>16</v>
      </c>
      <c r="B64" s="0" t="s">
        <v>126</v>
      </c>
      <c r="C64" s="0" t="s">
        <v>127</v>
      </c>
      <c r="D64" s="0" t="s">
        <v>2990</v>
      </c>
      <c r="E64" s="0" t="s">
        <v>2991</v>
      </c>
      <c r="F64" s="0" t="s">
        <v>2872</v>
      </c>
      <c r="G64" s="0" t="s">
        <v>2992</v>
      </c>
    </row>
    <row customHeight="1" ht="11.25">
      <c r="A65" s="0" t="s">
        <v>16</v>
      </c>
      <c r="B65" s="0" t="s">
        <v>126</v>
      </c>
      <c r="C65" s="0" t="s">
        <v>127</v>
      </c>
      <c r="D65" s="0" t="s">
        <v>2993</v>
      </c>
      <c r="E65" s="0" t="s">
        <v>2994</v>
      </c>
      <c r="F65" s="0" t="s">
        <v>2872</v>
      </c>
      <c r="G65" s="0" t="s">
        <v>2995</v>
      </c>
    </row>
    <row customHeight="1" ht="11.25">
      <c r="A66" s="0" t="s">
        <v>16</v>
      </c>
      <c r="B66" s="0" t="s">
        <v>126</v>
      </c>
      <c r="C66" s="0" t="s">
        <v>127</v>
      </c>
      <c r="D66" s="0" t="s">
        <v>2996</v>
      </c>
      <c r="E66" s="0" t="s">
        <v>2997</v>
      </c>
      <c r="F66" s="0" t="s">
        <v>2915</v>
      </c>
      <c r="G66" s="0" t="s">
        <v>2173</v>
      </c>
    </row>
    <row customHeight="1" ht="11.25">
      <c r="A67" s="0" t="s">
        <v>16</v>
      </c>
      <c r="B67" s="0" t="s">
        <v>130</v>
      </c>
      <c r="C67" s="0" t="s">
        <v>131</v>
      </c>
      <c r="D67" s="0" t="s">
        <v>130</v>
      </c>
      <c r="E67" s="0" t="s">
        <v>131</v>
      </c>
      <c r="F67" s="0" t="s">
        <v>2868</v>
      </c>
      <c r="G67" s="0" t="s">
        <v>129</v>
      </c>
    </row>
    <row customHeight="1" ht="11.25">
      <c r="A68" s="0" t="s">
        <v>16</v>
      </c>
      <c r="B68" s="0" t="s">
        <v>2998</v>
      </c>
      <c r="C68" s="0" t="s">
        <v>2999</v>
      </c>
      <c r="D68" s="0" t="s">
        <v>2998</v>
      </c>
      <c r="E68" s="0" t="s">
        <v>2999</v>
      </c>
      <c r="F68" s="0" t="s">
        <v>2868</v>
      </c>
      <c r="G68" s="0" t="s">
        <v>2376</v>
      </c>
    </row>
    <row customHeight="1" ht="11.25">
      <c r="A69" s="0" t="s">
        <v>16</v>
      </c>
      <c r="B69" s="0" t="s">
        <v>135</v>
      </c>
      <c r="C69" s="0" t="s">
        <v>136</v>
      </c>
      <c r="D69" s="0" t="s">
        <v>3000</v>
      </c>
      <c r="E69" s="0" t="s">
        <v>3001</v>
      </c>
      <c r="F69" s="0" t="s">
        <v>2872</v>
      </c>
      <c r="G69" s="0" t="s">
        <v>3002</v>
      </c>
    </row>
    <row customHeight="1" ht="11.25">
      <c r="A70" s="0" t="s">
        <v>16</v>
      </c>
      <c r="B70" s="0" t="s">
        <v>135</v>
      </c>
      <c r="C70" s="0" t="s">
        <v>136</v>
      </c>
      <c r="D70" s="0" t="s">
        <v>3003</v>
      </c>
      <c r="E70" s="0" t="s">
        <v>3004</v>
      </c>
      <c r="F70" s="0" t="s">
        <v>2872</v>
      </c>
      <c r="G70" s="0" t="s">
        <v>3005</v>
      </c>
    </row>
    <row customHeight="1" ht="11.25">
      <c r="A71" s="0" t="s">
        <v>16</v>
      </c>
      <c r="B71" s="0" t="s">
        <v>135</v>
      </c>
      <c r="C71" s="0" t="s">
        <v>136</v>
      </c>
      <c r="D71" s="0" t="s">
        <v>3006</v>
      </c>
      <c r="E71" s="0" t="s">
        <v>3007</v>
      </c>
      <c r="F71" s="0" t="s">
        <v>2872</v>
      </c>
      <c r="G71" s="0" t="s">
        <v>3008</v>
      </c>
    </row>
    <row customHeight="1" ht="11.25">
      <c r="A72" s="0" t="s">
        <v>16</v>
      </c>
      <c r="B72" s="0" t="s">
        <v>135</v>
      </c>
      <c r="C72" s="0" t="s">
        <v>136</v>
      </c>
      <c r="D72" s="0" t="s">
        <v>3009</v>
      </c>
      <c r="E72" s="0" t="s">
        <v>3010</v>
      </c>
      <c r="F72" s="0" t="s">
        <v>2872</v>
      </c>
      <c r="G72" s="0" t="s">
        <v>3011</v>
      </c>
    </row>
    <row customHeight="1" ht="11.25">
      <c r="A73" s="0" t="s">
        <v>16</v>
      </c>
      <c r="B73" s="0" t="s">
        <v>135</v>
      </c>
      <c r="C73" s="0" t="s">
        <v>136</v>
      </c>
      <c r="D73" s="0" t="s">
        <v>3012</v>
      </c>
      <c r="E73" s="0" t="s">
        <v>3013</v>
      </c>
      <c r="F73" s="0" t="s">
        <v>2872</v>
      </c>
      <c r="G73" s="0" t="s">
        <v>3014</v>
      </c>
    </row>
    <row customHeight="1" ht="11.25">
      <c r="A74" s="0" t="s">
        <v>16</v>
      </c>
      <c r="B74" s="0" t="s">
        <v>135</v>
      </c>
      <c r="C74" s="0" t="s">
        <v>136</v>
      </c>
      <c r="D74" s="0" t="s">
        <v>135</v>
      </c>
      <c r="E74" s="0" t="s">
        <v>136</v>
      </c>
      <c r="F74" s="0" t="s">
        <v>2869</v>
      </c>
      <c r="G74" s="0" t="s">
        <v>134</v>
      </c>
    </row>
    <row customHeight="1" ht="11.25">
      <c r="A75" s="0" t="s">
        <v>16</v>
      </c>
      <c r="B75" s="0" t="s">
        <v>135</v>
      </c>
      <c r="C75" s="0" t="s">
        <v>136</v>
      </c>
      <c r="D75" s="0" t="s">
        <v>3015</v>
      </c>
      <c r="E75" s="0" t="s">
        <v>3016</v>
      </c>
      <c r="F75" s="0" t="s">
        <v>2872</v>
      </c>
      <c r="G75" s="0" t="s">
        <v>3017</v>
      </c>
    </row>
    <row customHeight="1" ht="11.25">
      <c r="A76" s="0" t="s">
        <v>16</v>
      </c>
      <c r="B76" s="0" t="s">
        <v>135</v>
      </c>
      <c r="C76" s="0" t="s">
        <v>136</v>
      </c>
      <c r="D76" s="0" t="s">
        <v>3018</v>
      </c>
      <c r="E76" s="0" t="s">
        <v>3019</v>
      </c>
      <c r="F76" s="0" t="s">
        <v>2872</v>
      </c>
      <c r="G76" s="0" t="s">
        <v>3020</v>
      </c>
    </row>
    <row customHeight="1" ht="11.25">
      <c r="A77" s="0" t="s">
        <v>16</v>
      </c>
      <c r="B77" s="0" t="s">
        <v>135</v>
      </c>
      <c r="C77" s="0" t="s">
        <v>136</v>
      </c>
      <c r="D77" s="0" t="s">
        <v>3021</v>
      </c>
      <c r="E77" s="0" t="s">
        <v>3022</v>
      </c>
      <c r="F77" s="0" t="s">
        <v>2872</v>
      </c>
      <c r="G77" s="0" t="s">
        <v>3023</v>
      </c>
    </row>
    <row customHeight="1" ht="11.25">
      <c r="A78" s="0" t="s">
        <v>16</v>
      </c>
      <c r="B78" s="0" t="s">
        <v>135</v>
      </c>
      <c r="C78" s="0" t="s">
        <v>136</v>
      </c>
      <c r="D78" s="0" t="s">
        <v>2974</v>
      </c>
      <c r="E78" s="0" t="s">
        <v>3024</v>
      </c>
      <c r="F78" s="0" t="s">
        <v>2872</v>
      </c>
      <c r="G78" s="0" t="s">
        <v>3025</v>
      </c>
    </row>
    <row customHeight="1" ht="11.25">
      <c r="A79" s="0" t="s">
        <v>16</v>
      </c>
      <c r="B79" s="0" t="s">
        <v>135</v>
      </c>
      <c r="C79" s="0" t="s">
        <v>136</v>
      </c>
      <c r="D79" s="0" t="s">
        <v>3026</v>
      </c>
      <c r="E79" s="0" t="s">
        <v>3027</v>
      </c>
      <c r="F79" s="0" t="s">
        <v>2872</v>
      </c>
      <c r="G79" s="0" t="s">
        <v>3028</v>
      </c>
    </row>
    <row customHeight="1" ht="11.25">
      <c r="A80" s="0" t="s">
        <v>16</v>
      </c>
      <c r="B80" s="0" t="s">
        <v>135</v>
      </c>
      <c r="C80" s="0" t="s">
        <v>136</v>
      </c>
      <c r="D80" s="0" t="s">
        <v>3029</v>
      </c>
      <c r="E80" s="0" t="s">
        <v>3030</v>
      </c>
      <c r="F80" s="0" t="s">
        <v>2872</v>
      </c>
      <c r="G80" s="0" t="s">
        <v>3031</v>
      </c>
    </row>
    <row customHeight="1" ht="11.25">
      <c r="A81" s="0" t="s">
        <v>16</v>
      </c>
      <c r="B81" s="0" t="s">
        <v>135</v>
      </c>
      <c r="C81" s="0" t="s">
        <v>136</v>
      </c>
      <c r="D81" s="0" t="s">
        <v>3032</v>
      </c>
      <c r="E81" s="0" t="s">
        <v>3033</v>
      </c>
      <c r="F81" s="0" t="s">
        <v>2872</v>
      </c>
      <c r="G81" s="0" t="s">
        <v>3034</v>
      </c>
    </row>
    <row customHeight="1" ht="11.25">
      <c r="A82" s="0" t="s">
        <v>16</v>
      </c>
      <c r="B82" s="0" t="s">
        <v>135</v>
      </c>
      <c r="C82" s="0" t="s">
        <v>136</v>
      </c>
      <c r="D82" s="0" t="s">
        <v>3035</v>
      </c>
      <c r="E82" s="0" t="s">
        <v>3036</v>
      </c>
      <c r="F82" s="0" t="s">
        <v>2872</v>
      </c>
      <c r="G82" s="0" t="s">
        <v>3037</v>
      </c>
    </row>
    <row customHeight="1" ht="11.25">
      <c r="A83" s="0" t="s">
        <v>16</v>
      </c>
      <c r="B83" s="0" t="s">
        <v>135</v>
      </c>
      <c r="C83" s="0" t="s">
        <v>136</v>
      </c>
      <c r="D83" s="0" t="s">
        <v>3038</v>
      </c>
      <c r="E83" s="0" t="s">
        <v>3039</v>
      </c>
      <c r="F83" s="0" t="s">
        <v>2872</v>
      </c>
      <c r="G83" s="0" t="s">
        <v>3040</v>
      </c>
    </row>
    <row customHeight="1" ht="11.25">
      <c r="A84" s="0" t="s">
        <v>16</v>
      </c>
      <c r="B84" s="0" t="s">
        <v>135</v>
      </c>
      <c r="C84" s="0" t="s">
        <v>136</v>
      </c>
      <c r="D84" s="0" t="s">
        <v>3041</v>
      </c>
      <c r="E84" s="0" t="s">
        <v>3042</v>
      </c>
      <c r="F84" s="0" t="s">
        <v>2915</v>
      </c>
      <c r="G84" s="0" t="s">
        <v>3043</v>
      </c>
    </row>
    <row customHeight="1" ht="11.25">
      <c r="A85" s="0" t="s">
        <v>16</v>
      </c>
      <c r="B85" s="0" t="s">
        <v>140</v>
      </c>
      <c r="C85" s="0" t="s">
        <v>141</v>
      </c>
      <c r="D85" s="0" t="s">
        <v>3044</v>
      </c>
      <c r="E85" s="0" t="s">
        <v>3045</v>
      </c>
      <c r="F85" s="0" t="s">
        <v>2872</v>
      </c>
      <c r="G85" s="0" t="s">
        <v>3046</v>
      </c>
    </row>
    <row customHeight="1" ht="11.25">
      <c r="A86" s="0" t="s">
        <v>16</v>
      </c>
      <c r="B86" s="0" t="s">
        <v>140</v>
      </c>
      <c r="C86" s="0" t="s">
        <v>141</v>
      </c>
      <c r="D86" s="0" t="s">
        <v>3047</v>
      </c>
      <c r="E86" s="0" t="s">
        <v>3048</v>
      </c>
      <c r="F86" s="0" t="s">
        <v>2872</v>
      </c>
      <c r="G86" s="0" t="s">
        <v>3049</v>
      </c>
    </row>
    <row customHeight="1" ht="11.25">
      <c r="A87" s="0" t="s">
        <v>16</v>
      </c>
      <c r="B87" s="0" t="s">
        <v>140</v>
      </c>
      <c r="C87" s="0" t="s">
        <v>141</v>
      </c>
      <c r="D87" s="0" t="s">
        <v>3050</v>
      </c>
      <c r="E87" s="0" t="s">
        <v>3051</v>
      </c>
      <c r="F87" s="0" t="s">
        <v>2872</v>
      </c>
      <c r="G87" s="0" t="s">
        <v>3052</v>
      </c>
    </row>
    <row customHeight="1" ht="11.25">
      <c r="A88" s="0" t="s">
        <v>16</v>
      </c>
      <c r="B88" s="0" t="s">
        <v>140</v>
      </c>
      <c r="C88" s="0" t="s">
        <v>141</v>
      </c>
      <c r="D88" s="0" t="s">
        <v>3053</v>
      </c>
      <c r="E88" s="0" t="s">
        <v>3054</v>
      </c>
      <c r="F88" s="0" t="s">
        <v>2872</v>
      </c>
      <c r="G88" s="0" t="s">
        <v>3055</v>
      </c>
    </row>
    <row customHeight="1" ht="11.25">
      <c r="A89" s="0" t="s">
        <v>16</v>
      </c>
      <c r="B89" s="0" t="s">
        <v>140</v>
      </c>
      <c r="C89" s="0" t="s">
        <v>141</v>
      </c>
      <c r="D89" s="0" t="s">
        <v>3056</v>
      </c>
      <c r="E89" s="0" t="s">
        <v>3057</v>
      </c>
      <c r="F89" s="0" t="s">
        <v>2872</v>
      </c>
      <c r="G89" s="0" t="s">
        <v>3058</v>
      </c>
    </row>
    <row customHeight="1" ht="11.25">
      <c r="A90" s="0" t="s">
        <v>16</v>
      </c>
      <c r="B90" s="0" t="s">
        <v>140</v>
      </c>
      <c r="C90" s="0" t="s">
        <v>141</v>
      </c>
      <c r="D90" s="0" t="s">
        <v>3059</v>
      </c>
      <c r="E90" s="0" t="s">
        <v>3060</v>
      </c>
      <c r="F90" s="0" t="s">
        <v>2872</v>
      </c>
      <c r="G90" s="0" t="s">
        <v>3061</v>
      </c>
    </row>
    <row customHeight="1" ht="11.25">
      <c r="A91" s="0" t="s">
        <v>16</v>
      </c>
      <c r="B91" s="0" t="s">
        <v>140</v>
      </c>
      <c r="C91" s="0" t="s">
        <v>141</v>
      </c>
      <c r="D91" s="0" t="s">
        <v>3062</v>
      </c>
      <c r="E91" s="0" t="s">
        <v>3063</v>
      </c>
      <c r="F91" s="0" t="s">
        <v>2872</v>
      </c>
      <c r="G91" s="0" t="s">
        <v>3064</v>
      </c>
    </row>
    <row customHeight="1" ht="11.25">
      <c r="A92" s="0" t="s">
        <v>16</v>
      </c>
      <c r="B92" s="0" t="s">
        <v>140</v>
      </c>
      <c r="C92" s="0" t="s">
        <v>141</v>
      </c>
      <c r="D92" s="0" t="s">
        <v>3065</v>
      </c>
      <c r="E92" s="0" t="s">
        <v>3066</v>
      </c>
      <c r="F92" s="0" t="s">
        <v>2872</v>
      </c>
      <c r="G92" s="0" t="s">
        <v>3067</v>
      </c>
    </row>
    <row customHeight="1" ht="11.25">
      <c r="A93" s="0" t="s">
        <v>16</v>
      </c>
      <c r="B93" s="0" t="s">
        <v>140</v>
      </c>
      <c r="C93" s="0" t="s">
        <v>141</v>
      </c>
      <c r="D93" s="0" t="s">
        <v>3068</v>
      </c>
      <c r="E93" s="0" t="s">
        <v>3069</v>
      </c>
      <c r="F93" s="0" t="s">
        <v>2872</v>
      </c>
      <c r="G93" s="0" t="s">
        <v>3070</v>
      </c>
    </row>
    <row customHeight="1" ht="11.25">
      <c r="A94" s="0" t="s">
        <v>16</v>
      </c>
      <c r="B94" s="0" t="s">
        <v>140</v>
      </c>
      <c r="C94" s="0" t="s">
        <v>141</v>
      </c>
      <c r="D94" s="0" t="s">
        <v>140</v>
      </c>
      <c r="E94" s="0" t="s">
        <v>141</v>
      </c>
      <c r="F94" s="0" t="s">
        <v>2869</v>
      </c>
      <c r="G94" s="0" t="s">
        <v>139</v>
      </c>
    </row>
    <row customHeight="1" ht="11.25">
      <c r="A95" s="0" t="s">
        <v>16</v>
      </c>
      <c r="B95" s="0" t="s">
        <v>140</v>
      </c>
      <c r="C95" s="0" t="s">
        <v>141</v>
      </c>
      <c r="D95" s="0" t="s">
        <v>3071</v>
      </c>
      <c r="E95" s="0" t="s">
        <v>3072</v>
      </c>
      <c r="F95" s="0" t="s">
        <v>2872</v>
      </c>
      <c r="G95" s="0" t="s">
        <v>3073</v>
      </c>
    </row>
    <row customHeight="1" ht="11.25">
      <c r="A96" s="0" t="s">
        <v>16</v>
      </c>
      <c r="B96" s="0" t="s">
        <v>140</v>
      </c>
      <c r="C96" s="0" t="s">
        <v>141</v>
      </c>
      <c r="D96" s="0" t="s">
        <v>3074</v>
      </c>
      <c r="E96" s="0" t="s">
        <v>3075</v>
      </c>
      <c r="F96" s="0" t="s">
        <v>2872</v>
      </c>
      <c r="G96" s="0" t="s">
        <v>3076</v>
      </c>
    </row>
    <row customHeight="1" ht="11.25">
      <c r="A97" s="0" t="s">
        <v>16</v>
      </c>
      <c r="B97" s="0" t="s">
        <v>140</v>
      </c>
      <c r="C97" s="0" t="s">
        <v>141</v>
      </c>
      <c r="D97" s="0" t="s">
        <v>3077</v>
      </c>
      <c r="E97" s="0" t="s">
        <v>3078</v>
      </c>
      <c r="F97" s="0" t="s">
        <v>2872</v>
      </c>
      <c r="G97" s="0" t="s">
        <v>3079</v>
      </c>
    </row>
    <row customHeight="1" ht="11.25">
      <c r="A98" s="0" t="s">
        <v>16</v>
      </c>
      <c r="B98" s="0" t="s">
        <v>140</v>
      </c>
      <c r="C98" s="0" t="s">
        <v>141</v>
      </c>
      <c r="D98" s="0" t="s">
        <v>3080</v>
      </c>
      <c r="E98" s="0" t="s">
        <v>3081</v>
      </c>
      <c r="F98" s="0" t="s">
        <v>2872</v>
      </c>
      <c r="G98" s="0" t="s">
        <v>3082</v>
      </c>
    </row>
    <row customHeight="1" ht="11.25">
      <c r="A99" s="0" t="s">
        <v>16</v>
      </c>
      <c r="B99" s="0" t="s">
        <v>140</v>
      </c>
      <c r="C99" s="0" t="s">
        <v>141</v>
      </c>
      <c r="D99" s="0" t="s">
        <v>3083</v>
      </c>
      <c r="E99" s="0" t="s">
        <v>3084</v>
      </c>
      <c r="F99" s="0" t="s">
        <v>2872</v>
      </c>
      <c r="G99" s="0" t="s">
        <v>3085</v>
      </c>
    </row>
    <row customHeight="1" ht="11.25">
      <c r="A100" s="0" t="s">
        <v>16</v>
      </c>
      <c r="B100" s="0" t="s">
        <v>140</v>
      </c>
      <c r="C100" s="0" t="s">
        <v>141</v>
      </c>
      <c r="D100" s="0" t="s">
        <v>3086</v>
      </c>
      <c r="E100" s="0" t="s">
        <v>3087</v>
      </c>
      <c r="F100" s="0" t="s">
        <v>2872</v>
      </c>
      <c r="G100" s="0" t="s">
        <v>3088</v>
      </c>
    </row>
    <row customHeight="1" ht="11.25">
      <c r="A101" s="0" t="s">
        <v>16</v>
      </c>
      <c r="B101" s="0" t="s">
        <v>140</v>
      </c>
      <c r="C101" s="0" t="s">
        <v>141</v>
      </c>
      <c r="D101" s="0" t="s">
        <v>3089</v>
      </c>
      <c r="E101" s="0" t="s">
        <v>3090</v>
      </c>
      <c r="F101" s="0" t="s">
        <v>2872</v>
      </c>
      <c r="G101" s="0" t="s">
        <v>3091</v>
      </c>
    </row>
    <row customHeight="1" ht="11.25">
      <c r="A102" s="0" t="s">
        <v>16</v>
      </c>
      <c r="B102" s="0" t="s">
        <v>140</v>
      </c>
      <c r="C102" s="0" t="s">
        <v>141</v>
      </c>
      <c r="D102" s="0" t="s">
        <v>3092</v>
      </c>
      <c r="E102" s="0" t="s">
        <v>3093</v>
      </c>
      <c r="F102" s="0" t="s">
        <v>2872</v>
      </c>
      <c r="G102" s="0" t="s">
        <v>3094</v>
      </c>
    </row>
    <row customHeight="1" ht="11.25">
      <c r="A103" s="0" t="s">
        <v>16</v>
      </c>
      <c r="B103" s="0" t="s">
        <v>140</v>
      </c>
      <c r="C103" s="0" t="s">
        <v>141</v>
      </c>
      <c r="D103" s="0" t="s">
        <v>3095</v>
      </c>
      <c r="E103" s="0" t="s">
        <v>3096</v>
      </c>
      <c r="F103" s="0" t="s">
        <v>2872</v>
      </c>
      <c r="G103" s="0" t="s">
        <v>3097</v>
      </c>
    </row>
    <row customHeight="1" ht="11.25">
      <c r="A104" s="0" t="s">
        <v>16</v>
      </c>
      <c r="B104" s="0" t="s">
        <v>140</v>
      </c>
      <c r="C104" s="0" t="s">
        <v>141</v>
      </c>
      <c r="D104" s="0" t="s">
        <v>3098</v>
      </c>
      <c r="E104" s="0" t="s">
        <v>3099</v>
      </c>
      <c r="F104" s="0" t="s">
        <v>2872</v>
      </c>
      <c r="G104" s="0" t="s">
        <v>3100</v>
      </c>
    </row>
    <row customHeight="1" ht="11.25">
      <c r="A105" s="0" t="s">
        <v>16</v>
      </c>
      <c r="B105" s="0" t="s">
        <v>140</v>
      </c>
      <c r="C105" s="0" t="s">
        <v>141</v>
      </c>
      <c r="D105" s="0" t="s">
        <v>3101</v>
      </c>
      <c r="E105" s="0" t="s">
        <v>3102</v>
      </c>
      <c r="F105" s="0" t="s">
        <v>2872</v>
      </c>
      <c r="G105" s="0" t="s">
        <v>3103</v>
      </c>
    </row>
    <row customHeight="1" ht="11.25">
      <c r="A106" s="0" t="s">
        <v>16</v>
      </c>
      <c r="B106" s="0" t="s">
        <v>140</v>
      </c>
      <c r="C106" s="0" t="s">
        <v>141</v>
      </c>
      <c r="D106" s="0" t="s">
        <v>3104</v>
      </c>
      <c r="E106" s="0" t="s">
        <v>3105</v>
      </c>
      <c r="F106" s="0" t="s">
        <v>2872</v>
      </c>
      <c r="G106" s="0" t="s">
        <v>3106</v>
      </c>
    </row>
    <row customHeight="1" ht="11.25">
      <c r="A107" s="0" t="s">
        <v>16</v>
      </c>
      <c r="B107" s="0" t="s">
        <v>140</v>
      </c>
      <c r="C107" s="0" t="s">
        <v>141</v>
      </c>
      <c r="D107" s="0" t="s">
        <v>3107</v>
      </c>
      <c r="E107" s="0" t="s">
        <v>3108</v>
      </c>
      <c r="F107" s="0" t="s">
        <v>2872</v>
      </c>
      <c r="G107" s="0" t="s">
        <v>3109</v>
      </c>
    </row>
    <row customHeight="1" ht="11.25">
      <c r="A108" s="0" t="s">
        <v>16</v>
      </c>
      <c r="B108" s="0" t="s">
        <v>140</v>
      </c>
      <c r="C108" s="0" t="s">
        <v>141</v>
      </c>
      <c r="D108" s="0" t="s">
        <v>3110</v>
      </c>
      <c r="E108" s="0" t="s">
        <v>3111</v>
      </c>
      <c r="F108" s="0" t="s">
        <v>3112</v>
      </c>
      <c r="G108" s="0" t="s">
        <v>3113</v>
      </c>
    </row>
    <row customHeight="1" ht="11.25">
      <c r="A109" s="0" t="s">
        <v>16</v>
      </c>
      <c r="B109" s="0" t="s">
        <v>145</v>
      </c>
      <c r="C109" s="0" t="s">
        <v>146</v>
      </c>
      <c r="D109" s="0" t="s">
        <v>3114</v>
      </c>
      <c r="E109" s="0" t="s">
        <v>3115</v>
      </c>
      <c r="F109" s="0" t="s">
        <v>2872</v>
      </c>
      <c r="G109" s="0" t="s">
        <v>3116</v>
      </c>
    </row>
    <row customHeight="1" ht="11.25">
      <c r="A110" s="0" t="s">
        <v>16</v>
      </c>
      <c r="B110" s="0" t="s">
        <v>145</v>
      </c>
      <c r="C110" s="0" t="s">
        <v>146</v>
      </c>
      <c r="D110" s="0" t="s">
        <v>3117</v>
      </c>
      <c r="E110" s="0" t="s">
        <v>3118</v>
      </c>
      <c r="F110" s="0" t="s">
        <v>2872</v>
      </c>
      <c r="G110" s="0" t="s">
        <v>3119</v>
      </c>
    </row>
    <row customHeight="1" ht="11.25">
      <c r="A111" s="0" t="s">
        <v>16</v>
      </c>
      <c r="B111" s="0" t="s">
        <v>145</v>
      </c>
      <c r="C111" s="0" t="s">
        <v>146</v>
      </c>
      <c r="D111" s="0" t="s">
        <v>3120</v>
      </c>
      <c r="E111" s="0" t="s">
        <v>3121</v>
      </c>
      <c r="F111" s="0" t="s">
        <v>2872</v>
      </c>
      <c r="G111" s="0" t="s">
        <v>3122</v>
      </c>
    </row>
    <row customHeight="1" ht="11.25">
      <c r="A112" s="0" t="s">
        <v>16</v>
      </c>
      <c r="B112" s="0" t="s">
        <v>145</v>
      </c>
      <c r="C112" s="0" t="s">
        <v>146</v>
      </c>
      <c r="D112" s="0" t="s">
        <v>3123</v>
      </c>
      <c r="E112" s="0" t="s">
        <v>3124</v>
      </c>
      <c r="F112" s="0" t="s">
        <v>2872</v>
      </c>
      <c r="G112" s="0" t="s">
        <v>3125</v>
      </c>
    </row>
    <row customHeight="1" ht="11.25">
      <c r="A113" s="0" t="s">
        <v>16</v>
      </c>
      <c r="B113" s="0" t="s">
        <v>145</v>
      </c>
      <c r="C113" s="0" t="s">
        <v>146</v>
      </c>
      <c r="D113" s="0" t="s">
        <v>145</v>
      </c>
      <c r="E113" s="0" t="s">
        <v>146</v>
      </c>
      <c r="F113" s="0" t="s">
        <v>2869</v>
      </c>
      <c r="G113" s="0" t="s">
        <v>144</v>
      </c>
    </row>
    <row customHeight="1" ht="11.25">
      <c r="A114" s="0" t="s">
        <v>16</v>
      </c>
      <c r="B114" s="0" t="s">
        <v>145</v>
      </c>
      <c r="C114" s="0" t="s">
        <v>146</v>
      </c>
      <c r="D114" s="0" t="s">
        <v>3126</v>
      </c>
      <c r="E114" s="0" t="s">
        <v>3127</v>
      </c>
      <c r="F114" s="0" t="s">
        <v>2872</v>
      </c>
      <c r="G114" s="0" t="s">
        <v>3128</v>
      </c>
    </row>
    <row customHeight="1" ht="11.25">
      <c r="A115" s="0" t="s">
        <v>16</v>
      </c>
      <c r="B115" s="0" t="s">
        <v>145</v>
      </c>
      <c r="C115" s="0" t="s">
        <v>146</v>
      </c>
      <c r="D115" s="0" t="s">
        <v>3129</v>
      </c>
      <c r="E115" s="0" t="s">
        <v>3130</v>
      </c>
      <c r="F115" s="0" t="s">
        <v>2872</v>
      </c>
      <c r="G115" s="0" t="s">
        <v>3131</v>
      </c>
    </row>
    <row customHeight="1" ht="11.25">
      <c r="A116" s="0" t="s">
        <v>16</v>
      </c>
      <c r="B116" s="0" t="s">
        <v>145</v>
      </c>
      <c r="C116" s="0" t="s">
        <v>146</v>
      </c>
      <c r="D116" s="0" t="s">
        <v>3132</v>
      </c>
      <c r="E116" s="0" t="s">
        <v>3133</v>
      </c>
      <c r="F116" s="0" t="s">
        <v>2872</v>
      </c>
      <c r="G116" s="0" t="s">
        <v>3134</v>
      </c>
    </row>
    <row customHeight="1" ht="11.25">
      <c r="A117" s="0" t="s">
        <v>16</v>
      </c>
      <c r="B117" s="0" t="s">
        <v>145</v>
      </c>
      <c r="C117" s="0" t="s">
        <v>146</v>
      </c>
      <c r="D117" s="0" t="s">
        <v>3135</v>
      </c>
      <c r="E117" s="0" t="s">
        <v>3136</v>
      </c>
      <c r="F117" s="0" t="s">
        <v>2872</v>
      </c>
      <c r="G117" s="0" t="s">
        <v>3137</v>
      </c>
    </row>
    <row customHeight="1" ht="11.25">
      <c r="A118" s="0" t="s">
        <v>16</v>
      </c>
      <c r="B118" s="0" t="s">
        <v>145</v>
      </c>
      <c r="C118" s="0" t="s">
        <v>146</v>
      </c>
      <c r="D118" s="0" t="s">
        <v>3138</v>
      </c>
      <c r="E118" s="0" t="s">
        <v>3139</v>
      </c>
      <c r="F118" s="0" t="s">
        <v>2872</v>
      </c>
      <c r="G118" s="0" t="s">
        <v>3140</v>
      </c>
    </row>
    <row customHeight="1" ht="11.25">
      <c r="A119" s="0" t="s">
        <v>16</v>
      </c>
      <c r="B119" s="0" t="s">
        <v>145</v>
      </c>
      <c r="C119" s="0" t="s">
        <v>146</v>
      </c>
      <c r="D119" s="0" t="s">
        <v>3141</v>
      </c>
      <c r="E119" s="0" t="s">
        <v>3142</v>
      </c>
      <c r="F119" s="0" t="s">
        <v>2872</v>
      </c>
      <c r="G119" s="0" t="s">
        <v>3143</v>
      </c>
    </row>
    <row customHeight="1" ht="11.25">
      <c r="A120" s="0" t="s">
        <v>16</v>
      </c>
      <c r="B120" s="0" t="s">
        <v>150</v>
      </c>
      <c r="C120" s="0" t="s">
        <v>151</v>
      </c>
      <c r="D120" s="0" t="s">
        <v>3144</v>
      </c>
      <c r="E120" s="0" t="s">
        <v>3145</v>
      </c>
      <c r="F120" s="0" t="s">
        <v>2872</v>
      </c>
      <c r="G120" s="0" t="s">
        <v>3146</v>
      </c>
    </row>
    <row customHeight="1" ht="11.25">
      <c r="A121" s="0" t="s">
        <v>16</v>
      </c>
      <c r="B121" s="0" t="s">
        <v>150</v>
      </c>
      <c r="C121" s="0" t="s">
        <v>151</v>
      </c>
      <c r="D121" s="0" t="s">
        <v>3147</v>
      </c>
      <c r="E121" s="0" t="s">
        <v>3148</v>
      </c>
      <c r="F121" s="0" t="s">
        <v>2872</v>
      </c>
      <c r="G121" s="0" t="s">
        <v>3149</v>
      </c>
    </row>
    <row customHeight="1" ht="11.25">
      <c r="A122" s="0" t="s">
        <v>16</v>
      </c>
      <c r="B122" s="0" t="s">
        <v>150</v>
      </c>
      <c r="C122" s="0" t="s">
        <v>151</v>
      </c>
      <c r="D122" s="0" t="s">
        <v>3150</v>
      </c>
      <c r="E122" s="0" t="s">
        <v>3151</v>
      </c>
      <c r="F122" s="0" t="s">
        <v>2872</v>
      </c>
      <c r="G122" s="0" t="s">
        <v>3152</v>
      </c>
    </row>
    <row customHeight="1" ht="11.25">
      <c r="A123" s="0" t="s">
        <v>16</v>
      </c>
      <c r="B123" s="0" t="s">
        <v>150</v>
      </c>
      <c r="C123" s="0" t="s">
        <v>151</v>
      </c>
      <c r="D123" s="0" t="s">
        <v>3153</v>
      </c>
      <c r="E123" s="0" t="s">
        <v>3154</v>
      </c>
      <c r="F123" s="0" t="s">
        <v>2872</v>
      </c>
      <c r="G123" s="0" t="s">
        <v>3155</v>
      </c>
    </row>
    <row customHeight="1" ht="11.25">
      <c r="A124" s="0" t="s">
        <v>16</v>
      </c>
      <c r="B124" s="0" t="s">
        <v>150</v>
      </c>
      <c r="C124" s="0" t="s">
        <v>151</v>
      </c>
      <c r="D124" s="0" t="s">
        <v>3156</v>
      </c>
      <c r="E124" s="0" t="s">
        <v>3157</v>
      </c>
      <c r="F124" s="0" t="s">
        <v>2872</v>
      </c>
      <c r="G124" s="0" t="s">
        <v>3158</v>
      </c>
    </row>
    <row customHeight="1" ht="11.25">
      <c r="A125" s="0" t="s">
        <v>16</v>
      </c>
      <c r="B125" s="0" t="s">
        <v>150</v>
      </c>
      <c r="C125" s="0" t="s">
        <v>151</v>
      </c>
      <c r="D125" s="0" t="s">
        <v>3159</v>
      </c>
      <c r="E125" s="0" t="s">
        <v>3160</v>
      </c>
      <c r="F125" s="0" t="s">
        <v>2872</v>
      </c>
      <c r="G125" s="0" t="s">
        <v>3161</v>
      </c>
    </row>
    <row customHeight="1" ht="11.25">
      <c r="A126" s="0" t="s">
        <v>16</v>
      </c>
      <c r="B126" s="0" t="s">
        <v>150</v>
      </c>
      <c r="C126" s="0" t="s">
        <v>151</v>
      </c>
      <c r="D126" s="0" t="s">
        <v>3162</v>
      </c>
      <c r="E126" s="0" t="s">
        <v>3163</v>
      </c>
      <c r="F126" s="0" t="s">
        <v>2872</v>
      </c>
      <c r="G126" s="0" t="s">
        <v>3164</v>
      </c>
    </row>
    <row customHeight="1" ht="11.25">
      <c r="A127" s="0" t="s">
        <v>16</v>
      </c>
      <c r="B127" s="0" t="s">
        <v>150</v>
      </c>
      <c r="C127" s="0" t="s">
        <v>151</v>
      </c>
      <c r="D127" s="0" t="s">
        <v>150</v>
      </c>
      <c r="E127" s="0" t="s">
        <v>151</v>
      </c>
      <c r="F127" s="0" t="s">
        <v>2869</v>
      </c>
      <c r="G127" s="0" t="s">
        <v>149</v>
      </c>
    </row>
    <row customHeight="1" ht="11.25">
      <c r="A128" s="0" t="s">
        <v>16</v>
      </c>
      <c r="B128" s="0" t="s">
        <v>150</v>
      </c>
      <c r="C128" s="0" t="s">
        <v>151</v>
      </c>
      <c r="D128" s="0" t="s">
        <v>3165</v>
      </c>
      <c r="E128" s="0" t="s">
        <v>3166</v>
      </c>
      <c r="F128" s="0" t="s">
        <v>2872</v>
      </c>
      <c r="G128" s="0" t="s">
        <v>3167</v>
      </c>
    </row>
    <row customHeight="1" ht="11.25">
      <c r="A129" s="0" t="s">
        <v>16</v>
      </c>
      <c r="B129" s="0" t="s">
        <v>150</v>
      </c>
      <c r="C129" s="0" t="s">
        <v>151</v>
      </c>
      <c r="D129" s="0" t="s">
        <v>3168</v>
      </c>
      <c r="E129" s="0" t="s">
        <v>3169</v>
      </c>
      <c r="F129" s="0" t="s">
        <v>2872</v>
      </c>
      <c r="G129" s="0" t="s">
        <v>3170</v>
      </c>
    </row>
    <row customHeight="1" ht="11.25">
      <c r="A130" s="0" t="s">
        <v>16</v>
      </c>
      <c r="B130" s="0" t="s">
        <v>150</v>
      </c>
      <c r="C130" s="0" t="s">
        <v>151</v>
      </c>
      <c r="D130" s="0" t="s">
        <v>3171</v>
      </c>
      <c r="E130" s="0" t="s">
        <v>3172</v>
      </c>
      <c r="F130" s="0" t="s">
        <v>2872</v>
      </c>
      <c r="G130" s="0" t="s">
        <v>3173</v>
      </c>
    </row>
    <row customHeight="1" ht="11.25">
      <c r="A131" s="0" t="s">
        <v>16</v>
      </c>
      <c r="B131" s="0" t="s">
        <v>150</v>
      </c>
      <c r="C131" s="0" t="s">
        <v>151</v>
      </c>
      <c r="D131" s="0" t="s">
        <v>3174</v>
      </c>
      <c r="E131" s="0" t="s">
        <v>3175</v>
      </c>
      <c r="F131" s="0" t="s">
        <v>2872</v>
      </c>
      <c r="G131" s="0" t="s">
        <v>3176</v>
      </c>
    </row>
    <row customHeight="1" ht="11.25">
      <c r="A132" s="0" t="s">
        <v>16</v>
      </c>
      <c r="B132" s="0" t="s">
        <v>150</v>
      </c>
      <c r="C132" s="0" t="s">
        <v>151</v>
      </c>
      <c r="D132" s="0" t="s">
        <v>3177</v>
      </c>
      <c r="E132" s="0" t="s">
        <v>3178</v>
      </c>
      <c r="F132" s="0" t="s">
        <v>2872</v>
      </c>
      <c r="G132" s="0" t="s">
        <v>3179</v>
      </c>
    </row>
    <row customHeight="1" ht="11.25">
      <c r="A133" s="0" t="s">
        <v>16</v>
      </c>
      <c r="B133" s="0" t="s">
        <v>150</v>
      </c>
      <c r="C133" s="0" t="s">
        <v>151</v>
      </c>
      <c r="D133" s="0" t="s">
        <v>2903</v>
      </c>
      <c r="E133" s="0" t="s">
        <v>3180</v>
      </c>
      <c r="F133" s="0" t="s">
        <v>2872</v>
      </c>
      <c r="G133" s="0" t="s">
        <v>3181</v>
      </c>
    </row>
    <row customHeight="1" ht="11.25">
      <c r="A134" s="0" t="s">
        <v>16</v>
      </c>
      <c r="B134" s="0" t="s">
        <v>150</v>
      </c>
      <c r="C134" s="0" t="s">
        <v>151</v>
      </c>
      <c r="D134" s="0" t="s">
        <v>3182</v>
      </c>
      <c r="E134" s="0" t="s">
        <v>3183</v>
      </c>
      <c r="F134" s="0" t="s">
        <v>2872</v>
      </c>
      <c r="G134" s="0" t="s">
        <v>3184</v>
      </c>
    </row>
    <row customHeight="1" ht="11.25">
      <c r="A135" s="0" t="s">
        <v>16</v>
      </c>
      <c r="B135" s="0" t="s">
        <v>150</v>
      </c>
      <c r="C135" s="0" t="s">
        <v>151</v>
      </c>
      <c r="D135" s="0" t="s">
        <v>3185</v>
      </c>
      <c r="E135" s="0" t="s">
        <v>3186</v>
      </c>
      <c r="F135" s="0" t="s">
        <v>2915</v>
      </c>
      <c r="G135" s="0" t="s">
        <v>3187</v>
      </c>
    </row>
    <row customHeight="1" ht="11.25">
      <c r="A136" s="0" t="s">
        <v>16</v>
      </c>
      <c r="B136" s="0" t="s">
        <v>155</v>
      </c>
      <c r="C136" s="0" t="s">
        <v>156</v>
      </c>
      <c r="D136" s="0" t="s">
        <v>3188</v>
      </c>
      <c r="E136" s="0" t="s">
        <v>3189</v>
      </c>
      <c r="F136" s="0" t="s">
        <v>2872</v>
      </c>
      <c r="G136" s="0" t="s">
        <v>3190</v>
      </c>
    </row>
    <row customHeight="1" ht="11.25">
      <c r="A137" s="0" t="s">
        <v>16</v>
      </c>
      <c r="B137" s="0" t="s">
        <v>155</v>
      </c>
      <c r="C137" s="0" t="s">
        <v>156</v>
      </c>
      <c r="D137" s="0" t="s">
        <v>3191</v>
      </c>
      <c r="E137" s="0" t="s">
        <v>3192</v>
      </c>
      <c r="F137" s="0" t="s">
        <v>2872</v>
      </c>
      <c r="G137" s="0" t="s">
        <v>3193</v>
      </c>
    </row>
    <row customHeight="1" ht="11.25">
      <c r="A138" s="0" t="s">
        <v>16</v>
      </c>
      <c r="B138" s="0" t="s">
        <v>155</v>
      </c>
      <c r="C138" s="0" t="s">
        <v>156</v>
      </c>
      <c r="D138" s="0" t="s">
        <v>3194</v>
      </c>
      <c r="E138" s="0" t="s">
        <v>3195</v>
      </c>
      <c r="F138" s="0" t="s">
        <v>2872</v>
      </c>
      <c r="G138" s="0" t="s">
        <v>3196</v>
      </c>
    </row>
    <row customHeight="1" ht="11.25">
      <c r="A139" s="0" t="s">
        <v>16</v>
      </c>
      <c r="B139" s="0" t="s">
        <v>155</v>
      </c>
      <c r="C139" s="0" t="s">
        <v>156</v>
      </c>
      <c r="D139" s="0" t="s">
        <v>3197</v>
      </c>
      <c r="E139" s="0" t="s">
        <v>3198</v>
      </c>
      <c r="F139" s="0" t="s">
        <v>2872</v>
      </c>
      <c r="G139" s="0" t="s">
        <v>3199</v>
      </c>
    </row>
    <row customHeight="1" ht="11.25">
      <c r="A140" s="0" t="s">
        <v>16</v>
      </c>
      <c r="B140" s="0" t="s">
        <v>155</v>
      </c>
      <c r="C140" s="0" t="s">
        <v>156</v>
      </c>
      <c r="D140" s="0" t="s">
        <v>155</v>
      </c>
      <c r="E140" s="0" t="s">
        <v>156</v>
      </c>
      <c r="F140" s="0" t="s">
        <v>2869</v>
      </c>
      <c r="G140" s="0" t="s">
        <v>154</v>
      </c>
    </row>
    <row customHeight="1" ht="11.25">
      <c r="A141" s="0" t="s">
        <v>16</v>
      </c>
      <c r="B141" s="0" t="s">
        <v>155</v>
      </c>
      <c r="C141" s="0" t="s">
        <v>156</v>
      </c>
      <c r="D141" s="0" t="s">
        <v>3200</v>
      </c>
      <c r="E141" s="0" t="s">
        <v>3201</v>
      </c>
      <c r="F141" s="0" t="s">
        <v>2872</v>
      </c>
      <c r="G141" s="0" t="s">
        <v>3202</v>
      </c>
    </row>
    <row customHeight="1" ht="11.25">
      <c r="A142" s="0" t="s">
        <v>16</v>
      </c>
      <c r="B142" s="0" t="s">
        <v>155</v>
      </c>
      <c r="C142" s="0" t="s">
        <v>156</v>
      </c>
      <c r="D142" s="0" t="s">
        <v>3203</v>
      </c>
      <c r="E142" s="0" t="s">
        <v>3204</v>
      </c>
      <c r="F142" s="0" t="s">
        <v>2872</v>
      </c>
      <c r="G142" s="0" t="s">
        <v>3205</v>
      </c>
    </row>
    <row customHeight="1" ht="11.25">
      <c r="A143" s="0" t="s">
        <v>16</v>
      </c>
      <c r="B143" s="0" t="s">
        <v>155</v>
      </c>
      <c r="C143" s="0" t="s">
        <v>156</v>
      </c>
      <c r="D143" s="0" t="s">
        <v>3206</v>
      </c>
      <c r="E143" s="0" t="s">
        <v>3207</v>
      </c>
      <c r="F143" s="0" t="s">
        <v>2872</v>
      </c>
      <c r="G143" s="0" t="s">
        <v>3208</v>
      </c>
    </row>
    <row customHeight="1" ht="11.25">
      <c r="A144" s="0" t="s">
        <v>16</v>
      </c>
      <c r="B144" s="0" t="s">
        <v>155</v>
      </c>
      <c r="C144" s="0" t="s">
        <v>156</v>
      </c>
      <c r="D144" s="0" t="s">
        <v>3209</v>
      </c>
      <c r="E144" s="0" t="s">
        <v>3210</v>
      </c>
      <c r="F144" s="0" t="s">
        <v>2915</v>
      </c>
      <c r="G144" s="0" t="s">
        <v>3211</v>
      </c>
    </row>
    <row customHeight="1" ht="11.25">
      <c r="A145" s="0" t="s">
        <v>16</v>
      </c>
      <c r="B145" s="0" t="s">
        <v>160</v>
      </c>
      <c r="C145" s="0" t="s">
        <v>161</v>
      </c>
      <c r="D145" s="0" t="s">
        <v>160</v>
      </c>
      <c r="E145" s="0" t="s">
        <v>161</v>
      </c>
      <c r="F145" s="0" t="s">
        <v>2868</v>
      </c>
      <c r="G145" s="0" t="s">
        <v>159</v>
      </c>
    </row>
    <row customHeight="1" ht="11.25">
      <c r="A146" s="0" t="s">
        <v>16</v>
      </c>
      <c r="B146" s="0" t="s">
        <v>165</v>
      </c>
      <c r="C146" s="0" t="s">
        <v>166</v>
      </c>
      <c r="D146" s="0" t="s">
        <v>3212</v>
      </c>
      <c r="E146" s="0" t="s">
        <v>3213</v>
      </c>
      <c r="F146" s="0" t="s">
        <v>2872</v>
      </c>
      <c r="G146" s="0" t="s">
        <v>3214</v>
      </c>
    </row>
    <row customHeight="1" ht="11.25">
      <c r="A147" s="0" t="s">
        <v>16</v>
      </c>
      <c r="B147" s="0" t="s">
        <v>165</v>
      </c>
      <c r="C147" s="0" t="s">
        <v>166</v>
      </c>
      <c r="D147" s="0" t="s">
        <v>3215</v>
      </c>
      <c r="E147" s="0" t="s">
        <v>3216</v>
      </c>
      <c r="F147" s="0" t="s">
        <v>2872</v>
      </c>
      <c r="G147" s="0" t="s">
        <v>3217</v>
      </c>
    </row>
    <row customHeight="1" ht="11.25">
      <c r="A148" s="0" t="s">
        <v>16</v>
      </c>
      <c r="B148" s="0" t="s">
        <v>165</v>
      </c>
      <c r="C148" s="0" t="s">
        <v>166</v>
      </c>
      <c r="D148" s="0" t="s">
        <v>3188</v>
      </c>
      <c r="E148" s="0" t="s">
        <v>3218</v>
      </c>
      <c r="F148" s="0" t="s">
        <v>2872</v>
      </c>
      <c r="G148" s="0" t="s">
        <v>3219</v>
      </c>
    </row>
    <row customHeight="1" ht="11.25">
      <c r="A149" s="0" t="s">
        <v>16</v>
      </c>
      <c r="B149" s="0" t="s">
        <v>165</v>
      </c>
      <c r="C149" s="0" t="s">
        <v>166</v>
      </c>
      <c r="D149" s="0" t="s">
        <v>3220</v>
      </c>
      <c r="E149" s="0" t="s">
        <v>3221</v>
      </c>
      <c r="F149" s="0" t="s">
        <v>2872</v>
      </c>
      <c r="G149" s="0" t="s">
        <v>3222</v>
      </c>
    </row>
    <row customHeight="1" ht="11.25">
      <c r="A150" s="0" t="s">
        <v>16</v>
      </c>
      <c r="B150" s="0" t="s">
        <v>165</v>
      </c>
      <c r="C150" s="0" t="s">
        <v>166</v>
      </c>
      <c r="D150" s="0" t="s">
        <v>3162</v>
      </c>
      <c r="E150" s="0" t="s">
        <v>3223</v>
      </c>
      <c r="F150" s="0" t="s">
        <v>2872</v>
      </c>
      <c r="G150" s="0" t="s">
        <v>3224</v>
      </c>
    </row>
    <row customHeight="1" ht="11.25">
      <c r="A151" s="0" t="s">
        <v>16</v>
      </c>
      <c r="B151" s="0" t="s">
        <v>165</v>
      </c>
      <c r="C151" s="0" t="s">
        <v>166</v>
      </c>
      <c r="D151" s="0" t="s">
        <v>3225</v>
      </c>
      <c r="E151" s="0" t="s">
        <v>3226</v>
      </c>
      <c r="F151" s="0" t="s">
        <v>2872</v>
      </c>
      <c r="G151" s="0" t="s">
        <v>3227</v>
      </c>
    </row>
    <row customHeight="1" ht="11.25">
      <c r="A152" s="0" t="s">
        <v>16</v>
      </c>
      <c r="B152" s="0" t="s">
        <v>165</v>
      </c>
      <c r="C152" s="0" t="s">
        <v>166</v>
      </c>
      <c r="D152" s="0" t="s">
        <v>3228</v>
      </c>
      <c r="E152" s="0" t="s">
        <v>3229</v>
      </c>
      <c r="F152" s="0" t="s">
        <v>2872</v>
      </c>
      <c r="G152" s="0" t="s">
        <v>3230</v>
      </c>
    </row>
    <row customHeight="1" ht="11.25">
      <c r="A153" s="0" t="s">
        <v>16</v>
      </c>
      <c r="B153" s="0" t="s">
        <v>165</v>
      </c>
      <c r="C153" s="0" t="s">
        <v>166</v>
      </c>
      <c r="D153" s="0" t="s">
        <v>3231</v>
      </c>
      <c r="E153" s="0" t="s">
        <v>3232</v>
      </c>
      <c r="F153" s="0" t="s">
        <v>2872</v>
      </c>
      <c r="G153" s="0" t="s">
        <v>3233</v>
      </c>
    </row>
    <row customHeight="1" ht="11.25">
      <c r="A154" s="0" t="s">
        <v>16</v>
      </c>
      <c r="B154" s="0" t="s">
        <v>165</v>
      </c>
      <c r="C154" s="0" t="s">
        <v>166</v>
      </c>
      <c r="D154" s="0" t="s">
        <v>3234</v>
      </c>
      <c r="E154" s="0" t="s">
        <v>3235</v>
      </c>
      <c r="F154" s="0" t="s">
        <v>2872</v>
      </c>
      <c r="G154" s="0" t="s">
        <v>3236</v>
      </c>
    </row>
    <row customHeight="1" ht="11.25">
      <c r="A155" s="0" t="s">
        <v>16</v>
      </c>
      <c r="B155" s="0" t="s">
        <v>165</v>
      </c>
      <c r="C155" s="0" t="s">
        <v>166</v>
      </c>
      <c r="D155" s="0" t="s">
        <v>3086</v>
      </c>
      <c r="E155" s="0" t="s">
        <v>3237</v>
      </c>
      <c r="F155" s="0" t="s">
        <v>2872</v>
      </c>
      <c r="G155" s="0" t="s">
        <v>3238</v>
      </c>
    </row>
    <row customHeight="1" ht="11.25">
      <c r="A156" s="0" t="s">
        <v>16</v>
      </c>
      <c r="B156" s="0" t="s">
        <v>165</v>
      </c>
      <c r="C156" s="0" t="s">
        <v>166</v>
      </c>
      <c r="D156" s="0" t="s">
        <v>3239</v>
      </c>
      <c r="E156" s="0" t="s">
        <v>3240</v>
      </c>
      <c r="F156" s="0" t="s">
        <v>2872</v>
      </c>
      <c r="G156" s="0" t="s">
        <v>3241</v>
      </c>
    </row>
    <row customHeight="1" ht="11.25">
      <c r="A157" s="0" t="s">
        <v>16</v>
      </c>
      <c r="B157" s="0" t="s">
        <v>165</v>
      </c>
      <c r="C157" s="0" t="s">
        <v>166</v>
      </c>
      <c r="D157" s="0" t="s">
        <v>3242</v>
      </c>
      <c r="E157" s="0" t="s">
        <v>3243</v>
      </c>
      <c r="F157" s="0" t="s">
        <v>2872</v>
      </c>
      <c r="G157" s="0" t="s">
        <v>3244</v>
      </c>
    </row>
    <row customHeight="1" ht="11.25">
      <c r="A158" s="0" t="s">
        <v>16</v>
      </c>
      <c r="B158" s="0" t="s">
        <v>165</v>
      </c>
      <c r="C158" s="0" t="s">
        <v>166</v>
      </c>
      <c r="D158" s="0" t="s">
        <v>3245</v>
      </c>
      <c r="E158" s="0" t="s">
        <v>3246</v>
      </c>
      <c r="F158" s="0" t="s">
        <v>2872</v>
      </c>
      <c r="G158" s="0" t="s">
        <v>3247</v>
      </c>
    </row>
    <row customHeight="1" ht="11.25">
      <c r="A159" s="0" t="s">
        <v>16</v>
      </c>
      <c r="B159" s="0" t="s">
        <v>165</v>
      </c>
      <c r="C159" s="0" t="s">
        <v>166</v>
      </c>
      <c r="D159" s="0" t="s">
        <v>165</v>
      </c>
      <c r="E159" s="0" t="s">
        <v>166</v>
      </c>
      <c r="F159" s="0" t="s">
        <v>2869</v>
      </c>
      <c r="G159" s="0" t="s">
        <v>164</v>
      </c>
    </row>
    <row customHeight="1" ht="11.25">
      <c r="A160" s="0" t="s">
        <v>16</v>
      </c>
      <c r="B160" s="0" t="s">
        <v>165</v>
      </c>
      <c r="C160" s="0" t="s">
        <v>166</v>
      </c>
      <c r="D160" s="0" t="s">
        <v>3248</v>
      </c>
      <c r="E160" s="0" t="s">
        <v>3249</v>
      </c>
      <c r="F160" s="0" t="s">
        <v>2872</v>
      </c>
      <c r="G160" s="0" t="s">
        <v>3250</v>
      </c>
    </row>
    <row customHeight="1" ht="11.25">
      <c r="A161" s="0" t="s">
        <v>16</v>
      </c>
      <c r="B161" s="0" t="s">
        <v>165</v>
      </c>
      <c r="C161" s="0" t="s">
        <v>166</v>
      </c>
      <c r="D161" s="0" t="s">
        <v>3251</v>
      </c>
      <c r="E161" s="0" t="s">
        <v>3252</v>
      </c>
      <c r="F161" s="0" t="s">
        <v>2872</v>
      </c>
      <c r="G161" s="0" t="s">
        <v>3253</v>
      </c>
    </row>
    <row customHeight="1" ht="11.25">
      <c r="A162" s="0" t="s">
        <v>16</v>
      </c>
      <c r="B162" s="0" t="s">
        <v>165</v>
      </c>
      <c r="C162" s="0" t="s">
        <v>166</v>
      </c>
      <c r="D162" s="0" t="s">
        <v>3254</v>
      </c>
      <c r="E162" s="0" t="s">
        <v>3255</v>
      </c>
      <c r="F162" s="0" t="s">
        <v>2872</v>
      </c>
      <c r="G162" s="0" t="s">
        <v>3256</v>
      </c>
    </row>
    <row customHeight="1" ht="11.25">
      <c r="A163" s="0" t="s">
        <v>16</v>
      </c>
      <c r="B163" s="0" t="s">
        <v>165</v>
      </c>
      <c r="C163" s="0" t="s">
        <v>166</v>
      </c>
      <c r="D163" s="0" t="s">
        <v>3257</v>
      </c>
      <c r="E163" s="0" t="s">
        <v>3258</v>
      </c>
      <c r="F163" s="0" t="s">
        <v>2872</v>
      </c>
      <c r="G163" s="0" t="s">
        <v>3259</v>
      </c>
    </row>
    <row customHeight="1" ht="11.25">
      <c r="A164" s="0" t="s">
        <v>16</v>
      </c>
      <c r="B164" s="0" t="s">
        <v>165</v>
      </c>
      <c r="C164" s="0" t="s">
        <v>166</v>
      </c>
      <c r="D164" s="0" t="s">
        <v>3260</v>
      </c>
      <c r="E164" s="0" t="s">
        <v>3261</v>
      </c>
      <c r="F164" s="0" t="s">
        <v>2915</v>
      </c>
      <c r="G164" s="0" t="s">
        <v>3262</v>
      </c>
    </row>
    <row customHeight="1" ht="11.25">
      <c r="A165" s="0" t="s">
        <v>16</v>
      </c>
      <c r="B165" s="0" t="s">
        <v>170</v>
      </c>
      <c r="C165" s="0" t="s">
        <v>171</v>
      </c>
      <c r="D165" s="0" t="s">
        <v>3263</v>
      </c>
      <c r="E165" s="0" t="s">
        <v>3264</v>
      </c>
      <c r="F165" s="0" t="s">
        <v>2872</v>
      </c>
      <c r="G165" s="0" t="s">
        <v>3265</v>
      </c>
    </row>
    <row customHeight="1" ht="11.25">
      <c r="A166" s="0" t="s">
        <v>16</v>
      </c>
      <c r="B166" s="0" t="s">
        <v>170</v>
      </c>
      <c r="C166" s="0" t="s">
        <v>171</v>
      </c>
      <c r="D166" s="0" t="s">
        <v>3266</v>
      </c>
      <c r="E166" s="0" t="s">
        <v>3267</v>
      </c>
      <c r="F166" s="0" t="s">
        <v>2872</v>
      </c>
      <c r="G166" s="0" t="s">
        <v>3268</v>
      </c>
    </row>
    <row customHeight="1" ht="11.25">
      <c r="A167" s="0" t="s">
        <v>16</v>
      </c>
      <c r="B167" s="0" t="s">
        <v>170</v>
      </c>
      <c r="C167" s="0" t="s">
        <v>171</v>
      </c>
      <c r="D167" s="0" t="s">
        <v>3269</v>
      </c>
      <c r="E167" s="0" t="s">
        <v>3270</v>
      </c>
      <c r="F167" s="0" t="s">
        <v>2872</v>
      </c>
      <c r="G167" s="0" t="s">
        <v>3271</v>
      </c>
    </row>
    <row customHeight="1" ht="11.25">
      <c r="A168" s="0" t="s">
        <v>16</v>
      </c>
      <c r="B168" s="0" t="s">
        <v>170</v>
      </c>
      <c r="C168" s="0" t="s">
        <v>171</v>
      </c>
      <c r="D168" s="0" t="s">
        <v>3272</v>
      </c>
      <c r="E168" s="0" t="s">
        <v>3273</v>
      </c>
      <c r="F168" s="0" t="s">
        <v>2872</v>
      </c>
      <c r="G168" s="0" t="s">
        <v>3274</v>
      </c>
    </row>
    <row customHeight="1" ht="11.25">
      <c r="A169" s="0" t="s">
        <v>16</v>
      </c>
      <c r="B169" s="0" t="s">
        <v>170</v>
      </c>
      <c r="C169" s="0" t="s">
        <v>171</v>
      </c>
      <c r="D169" s="0" t="s">
        <v>3275</v>
      </c>
      <c r="E169" s="0" t="s">
        <v>3276</v>
      </c>
      <c r="F169" s="0" t="s">
        <v>2872</v>
      </c>
      <c r="G169" s="0" t="s">
        <v>3277</v>
      </c>
    </row>
    <row customHeight="1" ht="11.25">
      <c r="A170" s="0" t="s">
        <v>16</v>
      </c>
      <c r="B170" s="0" t="s">
        <v>170</v>
      </c>
      <c r="C170" s="0" t="s">
        <v>171</v>
      </c>
      <c r="D170" s="0" t="s">
        <v>3278</v>
      </c>
      <c r="E170" s="0" t="s">
        <v>3279</v>
      </c>
      <c r="F170" s="0" t="s">
        <v>2872</v>
      </c>
      <c r="G170" s="0" t="s">
        <v>3280</v>
      </c>
    </row>
    <row customHeight="1" ht="11.25">
      <c r="A171" s="0" t="s">
        <v>16</v>
      </c>
      <c r="B171" s="0" t="s">
        <v>170</v>
      </c>
      <c r="C171" s="0" t="s">
        <v>171</v>
      </c>
      <c r="D171" s="0" t="s">
        <v>3281</v>
      </c>
      <c r="E171" s="0" t="s">
        <v>3282</v>
      </c>
      <c r="F171" s="0" t="s">
        <v>2872</v>
      </c>
      <c r="G171" s="0" t="s">
        <v>3283</v>
      </c>
    </row>
    <row customHeight="1" ht="11.25">
      <c r="A172" s="0" t="s">
        <v>16</v>
      </c>
      <c r="B172" s="0" t="s">
        <v>170</v>
      </c>
      <c r="C172" s="0" t="s">
        <v>171</v>
      </c>
      <c r="D172" s="0" t="s">
        <v>3284</v>
      </c>
      <c r="E172" s="0" t="s">
        <v>3285</v>
      </c>
      <c r="F172" s="0" t="s">
        <v>2872</v>
      </c>
      <c r="G172" s="0" t="s">
        <v>3286</v>
      </c>
    </row>
    <row customHeight="1" ht="11.25">
      <c r="A173" s="0" t="s">
        <v>16</v>
      </c>
      <c r="B173" s="0" t="s">
        <v>170</v>
      </c>
      <c r="C173" s="0" t="s">
        <v>171</v>
      </c>
      <c r="D173" s="0" t="s">
        <v>170</v>
      </c>
      <c r="E173" s="0" t="s">
        <v>171</v>
      </c>
      <c r="F173" s="0" t="s">
        <v>2869</v>
      </c>
      <c r="G173" s="0" t="s">
        <v>169</v>
      </c>
    </row>
    <row customHeight="1" ht="11.25">
      <c r="A174" s="0" t="s">
        <v>16</v>
      </c>
      <c r="B174" s="0" t="s">
        <v>170</v>
      </c>
      <c r="C174" s="0" t="s">
        <v>171</v>
      </c>
      <c r="D174" s="0" t="s">
        <v>3287</v>
      </c>
      <c r="E174" s="0" t="s">
        <v>3288</v>
      </c>
      <c r="F174" s="0" t="s">
        <v>2872</v>
      </c>
      <c r="G174" s="0" t="s">
        <v>3289</v>
      </c>
    </row>
    <row customHeight="1" ht="11.25">
      <c r="A175" s="0" t="s">
        <v>16</v>
      </c>
      <c r="B175" s="0" t="s">
        <v>170</v>
      </c>
      <c r="C175" s="0" t="s">
        <v>171</v>
      </c>
      <c r="D175" s="0" t="s">
        <v>3290</v>
      </c>
      <c r="E175" s="0" t="s">
        <v>3291</v>
      </c>
      <c r="F175" s="0" t="s">
        <v>2872</v>
      </c>
      <c r="G175" s="0" t="s">
        <v>3292</v>
      </c>
    </row>
    <row customHeight="1" ht="11.25">
      <c r="A176" s="0" t="s">
        <v>16</v>
      </c>
      <c r="B176" s="0" t="s">
        <v>170</v>
      </c>
      <c r="C176" s="0" t="s">
        <v>171</v>
      </c>
      <c r="D176" s="0" t="s">
        <v>3293</v>
      </c>
      <c r="E176" s="0" t="s">
        <v>3294</v>
      </c>
      <c r="F176" s="0" t="s">
        <v>2872</v>
      </c>
      <c r="G176" s="0" t="s">
        <v>3295</v>
      </c>
    </row>
    <row customHeight="1" ht="11.25">
      <c r="A177" s="0" t="s">
        <v>16</v>
      </c>
      <c r="B177" s="0" t="s">
        <v>170</v>
      </c>
      <c r="C177" s="0" t="s">
        <v>171</v>
      </c>
      <c r="D177" s="0" t="s">
        <v>3296</v>
      </c>
      <c r="E177" s="0" t="s">
        <v>3297</v>
      </c>
      <c r="F177" s="0" t="s">
        <v>2915</v>
      </c>
      <c r="G177" s="0" t="s">
        <v>3298</v>
      </c>
    </row>
    <row customHeight="1" ht="11.25">
      <c r="A178" s="0" t="s">
        <v>16</v>
      </c>
      <c r="B178" s="0" t="s">
        <v>170</v>
      </c>
      <c r="C178" s="0" t="s">
        <v>171</v>
      </c>
      <c r="D178" s="0" t="s">
        <v>3299</v>
      </c>
      <c r="E178" s="0" t="s">
        <v>3300</v>
      </c>
      <c r="F178" s="0" t="s">
        <v>2915</v>
      </c>
      <c r="G178" s="0" t="s">
        <v>3301</v>
      </c>
    </row>
    <row customHeight="1" ht="11.25">
      <c r="A179" s="0" t="s">
        <v>16</v>
      </c>
      <c r="B179" s="0" t="s">
        <v>175</v>
      </c>
      <c r="C179" s="0" t="s">
        <v>176</v>
      </c>
      <c r="D179" s="0" t="s">
        <v>3302</v>
      </c>
      <c r="E179" s="0" t="s">
        <v>3303</v>
      </c>
      <c r="F179" s="0" t="s">
        <v>2872</v>
      </c>
      <c r="G179" s="0" t="s">
        <v>3304</v>
      </c>
    </row>
    <row customHeight="1" ht="11.25">
      <c r="A180" s="0" t="s">
        <v>16</v>
      </c>
      <c r="B180" s="0" t="s">
        <v>175</v>
      </c>
      <c r="C180" s="0" t="s">
        <v>176</v>
      </c>
      <c r="D180" s="0" t="s">
        <v>3305</v>
      </c>
      <c r="E180" s="0" t="s">
        <v>3306</v>
      </c>
      <c r="F180" s="0" t="s">
        <v>2872</v>
      </c>
      <c r="G180" s="0" t="s">
        <v>3307</v>
      </c>
    </row>
    <row customHeight="1" ht="11.25">
      <c r="A181" s="0" t="s">
        <v>16</v>
      </c>
      <c r="B181" s="0" t="s">
        <v>175</v>
      </c>
      <c r="C181" s="0" t="s">
        <v>176</v>
      </c>
      <c r="D181" s="0" t="s">
        <v>3308</v>
      </c>
      <c r="E181" s="0" t="s">
        <v>3309</v>
      </c>
      <c r="F181" s="0" t="s">
        <v>2872</v>
      </c>
      <c r="G181" s="0" t="s">
        <v>3310</v>
      </c>
    </row>
    <row customHeight="1" ht="11.25">
      <c r="A182" s="0" t="s">
        <v>16</v>
      </c>
      <c r="B182" s="0" t="s">
        <v>175</v>
      </c>
      <c r="C182" s="0" t="s">
        <v>176</v>
      </c>
      <c r="D182" s="0" t="s">
        <v>3311</v>
      </c>
      <c r="E182" s="0" t="s">
        <v>3312</v>
      </c>
      <c r="F182" s="0" t="s">
        <v>2872</v>
      </c>
      <c r="G182" s="0" t="s">
        <v>3313</v>
      </c>
    </row>
    <row customHeight="1" ht="11.25">
      <c r="A183" s="0" t="s">
        <v>16</v>
      </c>
      <c r="B183" s="0" t="s">
        <v>175</v>
      </c>
      <c r="C183" s="0" t="s">
        <v>176</v>
      </c>
      <c r="D183" s="0" t="s">
        <v>3314</v>
      </c>
      <c r="E183" s="0" t="s">
        <v>3315</v>
      </c>
      <c r="F183" s="0" t="s">
        <v>2872</v>
      </c>
      <c r="G183" s="0" t="s">
        <v>3316</v>
      </c>
    </row>
    <row customHeight="1" ht="11.25">
      <c r="A184" s="0" t="s">
        <v>16</v>
      </c>
      <c r="B184" s="0" t="s">
        <v>175</v>
      </c>
      <c r="C184" s="0" t="s">
        <v>176</v>
      </c>
      <c r="D184" s="0" t="s">
        <v>3317</v>
      </c>
      <c r="E184" s="0" t="s">
        <v>3318</v>
      </c>
      <c r="F184" s="0" t="s">
        <v>2872</v>
      </c>
      <c r="G184" s="0" t="s">
        <v>3319</v>
      </c>
    </row>
    <row customHeight="1" ht="11.25">
      <c r="A185" s="0" t="s">
        <v>16</v>
      </c>
      <c r="B185" s="0" t="s">
        <v>175</v>
      </c>
      <c r="C185" s="0" t="s">
        <v>176</v>
      </c>
      <c r="D185" s="0" t="s">
        <v>3320</v>
      </c>
      <c r="E185" s="0" t="s">
        <v>3321</v>
      </c>
      <c r="F185" s="0" t="s">
        <v>2872</v>
      </c>
      <c r="G185" s="0" t="s">
        <v>3322</v>
      </c>
    </row>
    <row customHeight="1" ht="11.25">
      <c r="A186" s="0" t="s">
        <v>16</v>
      </c>
      <c r="B186" s="0" t="s">
        <v>175</v>
      </c>
      <c r="C186" s="0" t="s">
        <v>176</v>
      </c>
      <c r="D186" s="0" t="s">
        <v>3323</v>
      </c>
      <c r="E186" s="0" t="s">
        <v>3324</v>
      </c>
      <c r="F186" s="0" t="s">
        <v>2872</v>
      </c>
      <c r="G186" s="0" t="s">
        <v>3325</v>
      </c>
    </row>
    <row customHeight="1" ht="11.25">
      <c r="A187" s="0" t="s">
        <v>16</v>
      </c>
      <c r="B187" s="0" t="s">
        <v>175</v>
      </c>
      <c r="C187" s="0" t="s">
        <v>176</v>
      </c>
      <c r="D187" s="0" t="s">
        <v>3326</v>
      </c>
      <c r="E187" s="0" t="s">
        <v>3327</v>
      </c>
      <c r="F187" s="0" t="s">
        <v>2872</v>
      </c>
      <c r="G187" s="0" t="s">
        <v>3328</v>
      </c>
    </row>
    <row customHeight="1" ht="11.25">
      <c r="A188" s="0" t="s">
        <v>16</v>
      </c>
      <c r="B188" s="0" t="s">
        <v>175</v>
      </c>
      <c r="C188" s="0" t="s">
        <v>176</v>
      </c>
      <c r="D188" s="0" t="s">
        <v>175</v>
      </c>
      <c r="E188" s="0" t="s">
        <v>176</v>
      </c>
      <c r="F188" s="0" t="s">
        <v>2869</v>
      </c>
      <c r="G188" s="0" t="s">
        <v>174</v>
      </c>
    </row>
    <row customHeight="1" ht="11.25">
      <c r="A189" s="0" t="s">
        <v>16</v>
      </c>
      <c r="B189" s="0" t="s">
        <v>175</v>
      </c>
      <c r="C189" s="0" t="s">
        <v>176</v>
      </c>
      <c r="D189" s="0" t="s">
        <v>3329</v>
      </c>
      <c r="E189" s="0" t="s">
        <v>3330</v>
      </c>
      <c r="F189" s="0" t="s">
        <v>2872</v>
      </c>
      <c r="G189" s="0" t="s">
        <v>3331</v>
      </c>
    </row>
    <row customHeight="1" ht="11.25">
      <c r="A190" s="0" t="s">
        <v>16</v>
      </c>
      <c r="B190" s="0" t="s">
        <v>175</v>
      </c>
      <c r="C190" s="0" t="s">
        <v>176</v>
      </c>
      <c r="D190" s="0" t="s">
        <v>3332</v>
      </c>
      <c r="E190" s="0" t="s">
        <v>3333</v>
      </c>
      <c r="F190" s="0" t="s">
        <v>2872</v>
      </c>
      <c r="G190" s="0" t="s">
        <v>3334</v>
      </c>
    </row>
    <row customHeight="1" ht="11.25">
      <c r="A191" s="0" t="s">
        <v>16</v>
      </c>
      <c r="B191" s="0" t="s">
        <v>175</v>
      </c>
      <c r="C191" s="0" t="s">
        <v>176</v>
      </c>
      <c r="D191" s="0" t="s">
        <v>3335</v>
      </c>
      <c r="E191" s="0" t="s">
        <v>3336</v>
      </c>
      <c r="F191" s="0" t="s">
        <v>2915</v>
      </c>
      <c r="G191" s="0" t="s">
        <v>3337</v>
      </c>
    </row>
    <row customHeight="1" ht="11.25">
      <c r="A192" s="0" t="s">
        <v>16</v>
      </c>
      <c r="B192" s="0" t="s">
        <v>3338</v>
      </c>
      <c r="C192" s="0" t="s">
        <v>3339</v>
      </c>
      <c r="D192" s="0" t="s">
        <v>3338</v>
      </c>
      <c r="E192" s="0" t="s">
        <v>3339</v>
      </c>
      <c r="F192" s="0" t="s">
        <v>2868</v>
      </c>
      <c r="G192" s="0" t="s">
        <v>3340</v>
      </c>
    </row>
    <row customHeight="1" ht="11.25">
      <c r="A193" s="0" t="s">
        <v>16</v>
      </c>
      <c r="B193" s="0" t="s">
        <v>187</v>
      </c>
      <c r="C193" s="0" t="s">
        <v>193</v>
      </c>
      <c r="D193" s="0" t="s">
        <v>3341</v>
      </c>
      <c r="E193" s="0" t="s">
        <v>3342</v>
      </c>
      <c r="F193" s="0" t="s">
        <v>2872</v>
      </c>
      <c r="G193" s="0" t="s">
        <v>3343</v>
      </c>
    </row>
    <row customHeight="1" ht="11.25">
      <c r="A194" s="0" t="s">
        <v>16</v>
      </c>
      <c r="B194" s="0" t="s">
        <v>187</v>
      </c>
      <c r="C194" s="0" t="s">
        <v>193</v>
      </c>
      <c r="D194" s="0" t="s">
        <v>3344</v>
      </c>
      <c r="E194" s="0" t="s">
        <v>3345</v>
      </c>
      <c r="F194" s="0" t="s">
        <v>2872</v>
      </c>
      <c r="G194" s="0" t="s">
        <v>3346</v>
      </c>
    </row>
    <row customHeight="1" ht="11.25">
      <c r="A195" s="0" t="s">
        <v>16</v>
      </c>
      <c r="B195" s="0" t="s">
        <v>187</v>
      </c>
      <c r="C195" s="0" t="s">
        <v>193</v>
      </c>
      <c r="D195" s="0" t="s">
        <v>3347</v>
      </c>
      <c r="E195" s="0" t="s">
        <v>3348</v>
      </c>
      <c r="F195" s="0" t="s">
        <v>2872</v>
      </c>
      <c r="G195" s="0" t="s">
        <v>3349</v>
      </c>
    </row>
    <row customHeight="1" ht="11.25">
      <c r="A196" s="0" t="s">
        <v>16</v>
      </c>
      <c r="B196" s="0" t="s">
        <v>187</v>
      </c>
      <c r="C196" s="0" t="s">
        <v>193</v>
      </c>
      <c r="D196" s="0" t="s">
        <v>3350</v>
      </c>
      <c r="E196" s="0" t="s">
        <v>3351</v>
      </c>
      <c r="F196" s="0" t="s">
        <v>2872</v>
      </c>
      <c r="G196" s="0" t="s">
        <v>3352</v>
      </c>
    </row>
    <row customHeight="1" ht="11.25">
      <c r="A197" s="0" t="s">
        <v>16</v>
      </c>
      <c r="B197" s="0" t="s">
        <v>187</v>
      </c>
      <c r="C197" s="0" t="s">
        <v>193</v>
      </c>
      <c r="D197" s="0" t="s">
        <v>3353</v>
      </c>
      <c r="E197" s="0" t="s">
        <v>3354</v>
      </c>
      <c r="F197" s="0" t="s">
        <v>2872</v>
      </c>
      <c r="G197" s="0" t="s">
        <v>3355</v>
      </c>
    </row>
    <row customHeight="1" ht="11.25">
      <c r="A198" s="0" t="s">
        <v>16</v>
      </c>
      <c r="B198" s="0" t="s">
        <v>187</v>
      </c>
      <c r="C198" s="0" t="s">
        <v>193</v>
      </c>
      <c r="D198" s="0" t="s">
        <v>3356</v>
      </c>
      <c r="E198" s="0" t="s">
        <v>3357</v>
      </c>
      <c r="F198" s="0" t="s">
        <v>2872</v>
      </c>
      <c r="G198" s="0" t="s">
        <v>3358</v>
      </c>
    </row>
    <row customHeight="1" ht="11.25">
      <c r="A199" s="0" t="s">
        <v>16</v>
      </c>
      <c r="B199" s="0" t="s">
        <v>187</v>
      </c>
      <c r="C199" s="0" t="s">
        <v>193</v>
      </c>
      <c r="D199" s="0" t="s">
        <v>3359</v>
      </c>
      <c r="E199" s="0" t="s">
        <v>3360</v>
      </c>
      <c r="F199" s="0" t="s">
        <v>2872</v>
      </c>
      <c r="G199" s="0" t="s">
        <v>3361</v>
      </c>
    </row>
    <row customHeight="1" ht="11.25">
      <c r="A200" s="0" t="s">
        <v>16</v>
      </c>
      <c r="B200" s="0" t="s">
        <v>187</v>
      </c>
      <c r="C200" s="0" t="s">
        <v>193</v>
      </c>
      <c r="D200" s="0" t="s">
        <v>3362</v>
      </c>
      <c r="E200" s="0" t="s">
        <v>3363</v>
      </c>
      <c r="F200" s="0" t="s">
        <v>2872</v>
      </c>
      <c r="G200" s="0" t="s">
        <v>3364</v>
      </c>
    </row>
    <row customHeight="1" ht="11.25">
      <c r="A201" s="0" t="s">
        <v>16</v>
      </c>
      <c r="B201" s="0" t="s">
        <v>187</v>
      </c>
      <c r="C201" s="0" t="s">
        <v>193</v>
      </c>
      <c r="D201" s="0" t="s">
        <v>3365</v>
      </c>
      <c r="E201" s="0" t="s">
        <v>3366</v>
      </c>
      <c r="F201" s="0" t="s">
        <v>2872</v>
      </c>
      <c r="G201" s="0" t="s">
        <v>3367</v>
      </c>
    </row>
    <row customHeight="1" ht="11.25">
      <c r="A202" s="0" t="s">
        <v>16</v>
      </c>
      <c r="B202" s="0" t="s">
        <v>187</v>
      </c>
      <c r="C202" s="0" t="s">
        <v>193</v>
      </c>
      <c r="D202" s="0" t="s">
        <v>3368</v>
      </c>
      <c r="E202" s="0" t="s">
        <v>3369</v>
      </c>
      <c r="F202" s="0" t="s">
        <v>2872</v>
      </c>
      <c r="G202" s="0" t="s">
        <v>3370</v>
      </c>
    </row>
    <row customHeight="1" ht="11.25">
      <c r="A203" s="0" t="s">
        <v>16</v>
      </c>
      <c r="B203" s="0" t="s">
        <v>187</v>
      </c>
      <c r="C203" s="0" t="s">
        <v>193</v>
      </c>
      <c r="D203" s="0" t="s">
        <v>3371</v>
      </c>
      <c r="E203" s="0" t="s">
        <v>3372</v>
      </c>
      <c r="F203" s="0" t="s">
        <v>2872</v>
      </c>
      <c r="G203" s="0" t="s">
        <v>3373</v>
      </c>
    </row>
    <row customHeight="1" ht="11.25">
      <c r="A204" s="0" t="s">
        <v>16</v>
      </c>
      <c r="B204" s="0" t="s">
        <v>187</v>
      </c>
      <c r="C204" s="0" t="s">
        <v>193</v>
      </c>
      <c r="D204" s="0" t="s">
        <v>3374</v>
      </c>
      <c r="E204" s="0" t="s">
        <v>3375</v>
      </c>
      <c r="F204" s="0" t="s">
        <v>2872</v>
      </c>
      <c r="G204" s="0" t="s">
        <v>3376</v>
      </c>
    </row>
    <row customHeight="1" ht="11.25">
      <c r="A205" s="0" t="s">
        <v>16</v>
      </c>
      <c r="B205" s="0" t="s">
        <v>187</v>
      </c>
      <c r="C205" s="0" t="s">
        <v>193</v>
      </c>
      <c r="D205" s="0" t="s">
        <v>3377</v>
      </c>
      <c r="E205" s="0" t="s">
        <v>3378</v>
      </c>
      <c r="F205" s="0" t="s">
        <v>2872</v>
      </c>
      <c r="G205" s="0" t="s">
        <v>3379</v>
      </c>
    </row>
    <row customHeight="1" ht="11.25">
      <c r="A206" s="0" t="s">
        <v>16</v>
      </c>
      <c r="B206" s="0" t="s">
        <v>187</v>
      </c>
      <c r="C206" s="0" t="s">
        <v>193</v>
      </c>
      <c r="D206" s="0" t="s">
        <v>3380</v>
      </c>
      <c r="E206" s="0" t="s">
        <v>3381</v>
      </c>
      <c r="F206" s="0" t="s">
        <v>2872</v>
      </c>
      <c r="G206" s="0" t="s">
        <v>3382</v>
      </c>
    </row>
    <row customHeight="1" ht="11.25">
      <c r="A207" s="0" t="s">
        <v>16</v>
      </c>
      <c r="B207" s="0" t="s">
        <v>187</v>
      </c>
      <c r="C207" s="0" t="s">
        <v>193</v>
      </c>
      <c r="D207" s="0" t="s">
        <v>3383</v>
      </c>
      <c r="E207" s="0" t="s">
        <v>3384</v>
      </c>
      <c r="F207" s="0" t="s">
        <v>2872</v>
      </c>
      <c r="G207" s="0" t="s">
        <v>3385</v>
      </c>
    </row>
    <row customHeight="1" ht="11.25">
      <c r="A208" s="0" t="s">
        <v>16</v>
      </c>
      <c r="B208" s="0" t="s">
        <v>187</v>
      </c>
      <c r="C208" s="0" t="s">
        <v>193</v>
      </c>
      <c r="D208" s="0" t="s">
        <v>187</v>
      </c>
      <c r="E208" s="0" t="s">
        <v>193</v>
      </c>
      <c r="F208" s="0" t="s">
        <v>2869</v>
      </c>
      <c r="G208" s="0" t="s">
        <v>192</v>
      </c>
    </row>
    <row customHeight="1" ht="11.25">
      <c r="A209" s="0" t="s">
        <v>16</v>
      </c>
      <c r="B209" s="0" t="s">
        <v>187</v>
      </c>
      <c r="C209" s="0" t="s">
        <v>193</v>
      </c>
      <c r="D209" s="0" t="s">
        <v>188</v>
      </c>
      <c r="E209" s="0" t="s">
        <v>189</v>
      </c>
      <c r="F209" s="0" t="s">
        <v>2915</v>
      </c>
      <c r="G209" s="0" t="s">
        <v>186</v>
      </c>
    </row>
    <row customHeight="1" ht="11.25">
      <c r="A210" s="0" t="s">
        <v>16</v>
      </c>
      <c r="B210" s="0" t="s">
        <v>180</v>
      </c>
      <c r="C210" s="0" t="s">
        <v>181</v>
      </c>
      <c r="D210" s="0" t="s">
        <v>180</v>
      </c>
      <c r="E210" s="0" t="s">
        <v>181</v>
      </c>
      <c r="F210" s="0" t="s">
        <v>2868</v>
      </c>
      <c r="G210" s="0" t="s">
        <v>179</v>
      </c>
    </row>
    <row customHeight="1" ht="11.25">
      <c r="A211" s="0" t="s">
        <v>16</v>
      </c>
      <c r="B211" s="0" t="s">
        <v>197</v>
      </c>
      <c r="C211" s="0" t="s">
        <v>198</v>
      </c>
      <c r="D211" s="0" t="s">
        <v>197</v>
      </c>
      <c r="E211" s="0" t="s">
        <v>198</v>
      </c>
      <c r="F211" s="0" t="s">
        <v>2868</v>
      </c>
      <c r="G211" s="0" t="s">
        <v>196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21439A-D998-2E35-1BBD-EF7428AC7674}"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8" width="9.140625"/>
    <col min="2" max="2" style="1698" width="84.28125" customWidth="1"/>
    <col min="3" max="3" style="1698" width="9.140625"/>
  </cols>
  <sheetData>
    <row customHeight="1" ht="11.25">
      <c r="A1" s="842" t="s">
        <v>3427</v>
      </c>
      <c r="B1" s="842" t="s">
        <v>3428</v>
      </c>
      <c r="C1" s="842" t="s">
        <v>1329</v>
      </c>
    </row>
    <row customHeight="1" ht="11.25">
      <c r="A2" s="842">
        <v>4189678</v>
      </c>
      <c r="B2" s="842" t="s">
        <v>3429</v>
      </c>
      <c r="C2" s="842" t="s">
        <v>3430</v>
      </c>
    </row>
    <row customHeight="1" ht="11.25">
      <c r="A3" s="842">
        <v>4190415</v>
      </c>
      <c r="B3" s="842" t="s">
        <v>3431</v>
      </c>
      <c r="C3" s="842" t="s">
        <v>3430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8767EB-661A-9EC1-9F3D-1A66C940E326}"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9" width="38.421875" customWidth="1"/>
    <col min="2" max="5" style="169" width="9.140625"/>
  </cols>
  <sheetData>
    <row customHeight="1" ht="15">
      <c r="A1" s="170" t="s">
        <v>3432</v>
      </c>
      <c r="B1" s="170" t="s">
        <v>3433</v>
      </c>
      <c r="C1" s="170"/>
      <c r="D1" s="170"/>
      <c r="E1" s="170"/>
    </row>
    <row customHeight="1" ht="15">
      <c r="A2" s="170"/>
      <c r="B2" s="170"/>
      <c r="C2" s="170"/>
      <c r="D2" s="170"/>
      <c r="E2" s="170"/>
    </row>
    <row customHeight="1" ht="15">
      <c r="A3" s="170"/>
      <c r="B3" s="170"/>
      <c r="C3" s="170"/>
      <c r="D3" s="170"/>
      <c r="E3" s="170"/>
    </row>
    <row customHeight="1" ht="15">
      <c r="A4" s="170"/>
      <c r="B4" s="170"/>
      <c r="C4" s="170"/>
      <c r="D4" s="170"/>
      <c r="E4" s="170"/>
    </row>
    <row customHeight="1" ht="15">
      <c r="A5" s="170"/>
      <c r="B5" s="170"/>
      <c r="C5" s="170"/>
      <c r="D5" s="170"/>
      <c r="E5" s="170"/>
    </row>
    <row customHeight="1" ht="15">
      <c r="A6" s="170"/>
      <c r="B6" s="170"/>
      <c r="C6" s="170"/>
      <c r="D6" s="170"/>
      <c r="E6" s="170"/>
    </row>
    <row customHeight="1" ht="15">
      <c r="A7" s="170"/>
      <c r="B7" s="170"/>
      <c r="C7" s="170"/>
      <c r="D7" s="170"/>
      <c r="E7" s="170"/>
    </row>
    <row customHeight="1" ht="15">
      <c r="A8" s="170"/>
      <c r="B8" s="170"/>
      <c r="C8" s="170"/>
      <c r="D8" s="170"/>
      <c r="E8" s="170"/>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2A990E-EDE8-1B02-9486-114FB08C44D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3434</v>
      </c>
      <c r="B1" s="0" t="b">
        <v>1</v>
      </c>
    </row>
    <row customHeight="1" ht="11.25">
      <c r="A2" s="0" t="s">
        <v>3435</v>
      </c>
      <c r="B2" s="0" t="b">
        <v>0</v>
      </c>
    </row>
    <row customHeight="1" ht="11.25">
      <c r="A3" s="0" t="s">
        <v>3436</v>
      </c>
      <c r="B3" s="0" t="b">
        <v>0</v>
      </c>
    </row>
    <row customHeight="1" ht="11.25">
      <c r="A4" s="0" t="s">
        <v>3437</v>
      </c>
      <c r="B4" s="0" t="b">
        <v>1</v>
      </c>
    </row>
    <row customHeight="1" ht="11.25">
      <c r="A5" s="0" t="s">
        <v>3438</v>
      </c>
      <c r="B5" s="0" t="b">
        <v>0</v>
      </c>
    </row>
    <row customHeight="1" ht="11.25">
      <c r="A6" s="0" t="s">
        <v>3439</v>
      </c>
      <c r="B6" s="0" t="b">
        <v>0</v>
      </c>
    </row>
    <row customHeight="1" ht="11.25">
      <c r="A7" s="0" t="s">
        <v>3440</v>
      </c>
      <c r="B7" s="0" t="b">
        <v>0</v>
      </c>
    </row>
    <row customHeight="1" ht="11.25">
      <c r="A8" s="0" t="s">
        <v>3441</v>
      </c>
      <c r="B8" s="0" t="b">
        <v>0</v>
      </c>
    </row>
    <row customHeight="1" ht="11.25">
      <c r="A9" s="0" t="s">
        <v>3442</v>
      </c>
      <c r="B9" s="0" t="b">
        <v>0</v>
      </c>
    </row>
    <row customHeight="1" ht="11.25">
      <c r="A10" s="0" t="s">
        <v>3443</v>
      </c>
      <c r="B10" s="0" t="b">
        <v>0</v>
      </c>
    </row>
    <row customHeight="1" ht="11.25">
      <c r="A11" s="0" t="s">
        <v>3444</v>
      </c>
      <c r="B11" s="0" t="b">
        <v>0</v>
      </c>
    </row>
    <row customHeight="1" ht="11.25">
      <c r="A12" s="0" t="s">
        <v>3445</v>
      </c>
      <c r="B12" s="0" t="b">
        <v>0</v>
      </c>
    </row>
    <row customHeight="1" ht="11.25">
      <c r="A13" s="0" t="s">
        <v>3446</v>
      </c>
      <c r="B13" s="0" t="b">
        <v>0</v>
      </c>
    </row>
    <row customHeight="1" ht="11.25">
      <c r="A14" s="0" t="s">
        <v>3447</v>
      </c>
      <c r="B14" s="0" t="b">
        <v>1</v>
      </c>
    </row>
    <row customHeight="1" ht="11.25">
      <c r="A15" s="0" t="s">
        <v>3448</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EFB331-26B6-E2BF-062B-6ECCE109FE4F}"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2758"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8D937B-E557-480F-7967-09FA2B65D8DC}"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7" width="36.28125" customWidth="1"/>
    <col min="2" max="2" style="1857" width="21.140625" customWidth="1"/>
  </cols>
  <sheetData>
    <row customHeight="1" ht="11.25">
      <c r="A1" s="74" t="s">
        <v>3449</v>
      </c>
      <c r="B1" s="74" t="s">
        <v>3450</v>
      </c>
    </row>
    <row customHeight="1" ht="11.25">
      <c r="A2" s="71" t="s">
        <v>3451</v>
      </c>
      <c r="B2" s="71" t="s">
        <v>3452</v>
      </c>
    </row>
    <row customHeight="1" ht="11.25">
      <c r="A3" s="71" t="s">
        <v>3453</v>
      </c>
      <c r="B3" s="71" t="s">
        <v>3454</v>
      </c>
    </row>
    <row customHeight="1" ht="11.25">
      <c r="A4" s="71" t="s">
        <v>3455</v>
      </c>
      <c r="B4" s="71" t="s">
        <v>3456</v>
      </c>
    </row>
    <row customHeight="1" ht="11.25">
      <c r="A5" s="71" t="s">
        <v>3457</v>
      </c>
      <c r="B5" s="71" t="s">
        <v>3458</v>
      </c>
    </row>
    <row customHeight="1" ht="11.25">
      <c r="A6" s="71" t="s">
        <v>3459</v>
      </c>
      <c r="B6" s="71" t="s">
        <v>3460</v>
      </c>
    </row>
    <row customHeight="1" ht="11.25">
      <c r="A7" s="71" t="s">
        <v>3461</v>
      </c>
      <c r="B7" s="71" t="s">
        <v>3462</v>
      </c>
    </row>
    <row customHeight="1" ht="11.25">
      <c r="A8" s="71" t="s">
        <v>3463</v>
      </c>
      <c r="B8" s="71" t="s">
        <v>3464</v>
      </c>
    </row>
    <row customHeight="1" ht="11.25">
      <c r="A9" s="71" t="s">
        <v>3465</v>
      </c>
      <c r="B9" s="71" t="s">
        <v>3466</v>
      </c>
    </row>
    <row customHeight="1" ht="11.25">
      <c r="A10" s="71" t="s">
        <v>3467</v>
      </c>
      <c r="B10" s="71" t="s">
        <v>3468</v>
      </c>
    </row>
    <row customHeight="1" ht="11.25">
      <c r="A11" s="71" t="s">
        <v>3469</v>
      </c>
      <c r="B11" s="71" t="s">
        <v>3470</v>
      </c>
    </row>
    <row customHeight="1" ht="11.25">
      <c r="A12" s="71" t="s">
        <v>3471</v>
      </c>
      <c r="B12" s="71" t="s">
        <v>3472</v>
      </c>
    </row>
    <row customHeight="1" ht="11.25">
      <c r="A13" s="71" t="s">
        <v>3473</v>
      </c>
      <c r="B13" s="71" t="s">
        <v>3474</v>
      </c>
    </row>
    <row customHeight="1" ht="11.25">
      <c r="A14" s="71" t="s">
        <v>3475</v>
      </c>
      <c r="B14" s="71" t="s">
        <v>3476</v>
      </c>
    </row>
    <row customHeight="1" ht="11.25">
      <c r="A15" s="71" t="s">
        <v>3477</v>
      </c>
      <c r="B15" s="71" t="s">
        <v>3478</v>
      </c>
    </row>
    <row customHeight="1" ht="11.25">
      <c r="A16" s="71" t="s">
        <v>3479</v>
      </c>
      <c r="B16" s="71" t="s">
        <v>3480</v>
      </c>
    </row>
    <row customHeight="1" ht="11.25">
      <c r="A17" s="71" t="s">
        <v>3481</v>
      </c>
      <c r="B17" s="71" t="s">
        <v>3482</v>
      </c>
    </row>
    <row customHeight="1" ht="11.25">
      <c r="A18" s="71" t="s">
        <v>3483</v>
      </c>
      <c r="B18" s="71" t="s">
        <v>3484</v>
      </c>
    </row>
    <row customHeight="1" ht="11.25">
      <c r="A19" s="71" t="s">
        <v>3485</v>
      </c>
      <c r="B19" s="71" t="s">
        <v>3486</v>
      </c>
    </row>
    <row customHeight="1" ht="11.25">
      <c r="A20" s="71" t="s">
        <v>3487</v>
      </c>
      <c r="B20" s="71" t="s">
        <v>3488</v>
      </c>
    </row>
    <row customHeight="1" ht="11.25">
      <c r="A21" s="71" t="s">
        <v>3489</v>
      </c>
      <c r="B21" s="71" t="s">
        <v>3490</v>
      </c>
    </row>
    <row customHeight="1" ht="11.25">
      <c r="A22" s="71" t="s">
        <v>3491</v>
      </c>
      <c r="B22" s="71" t="s">
        <v>3492</v>
      </c>
    </row>
    <row customHeight="1" ht="11.25">
      <c r="A23" s="71" t="s">
        <v>3493</v>
      </c>
      <c r="B23" s="71" t="s">
        <v>3494</v>
      </c>
    </row>
    <row customHeight="1" ht="11.25">
      <c r="A24" s="71" t="s">
        <v>3495</v>
      </c>
      <c r="B24" s="71" t="s">
        <v>3496</v>
      </c>
    </row>
    <row customHeight="1" ht="11.25">
      <c r="A25" s="71" t="s">
        <v>3497</v>
      </c>
      <c r="B25" s="71" t="s">
        <v>3498</v>
      </c>
    </row>
    <row customHeight="1" ht="11.25">
      <c r="A26" s="71" t="s">
        <v>3499</v>
      </c>
      <c r="B26" s="71" t="s">
        <v>3500</v>
      </c>
    </row>
    <row customHeight="1" ht="11.25">
      <c r="A27" s="71" t="s">
        <v>3501</v>
      </c>
      <c r="B27" s="71" t="s">
        <v>3502</v>
      </c>
    </row>
    <row customHeight="1" ht="11.25">
      <c r="A28" s="71" t="s">
        <v>3503</v>
      </c>
      <c r="B28" s="71" t="s">
        <v>3504</v>
      </c>
    </row>
    <row customHeight="1" ht="11.25">
      <c r="A29" s="71" t="s">
        <v>3505</v>
      </c>
      <c r="B29" s="71" t="s">
        <v>3506</v>
      </c>
    </row>
    <row customHeight="1" ht="11.25">
      <c r="A30" s="71" t="s">
        <v>3507</v>
      </c>
      <c r="B30" s="71" t="s">
        <v>3508</v>
      </c>
    </row>
    <row customHeight="1" ht="11.25">
      <c r="A31" s="71" t="s">
        <v>3509</v>
      </c>
      <c r="B31" s="71" t="s">
        <v>3510</v>
      </c>
    </row>
    <row customHeight="1" ht="11.25">
      <c r="A32" s="71" t="s">
        <v>3511</v>
      </c>
      <c r="B32" s="71" t="s">
        <v>3512</v>
      </c>
    </row>
    <row customHeight="1" ht="11.25">
      <c r="A33" s="71" t="s">
        <v>3513</v>
      </c>
      <c r="B33" s="71" t="s">
        <v>3514</v>
      </c>
    </row>
    <row customHeight="1" ht="11.25">
      <c r="A34" s="71" t="s">
        <v>3515</v>
      </c>
      <c r="B34" s="71" t="s">
        <v>3516</v>
      </c>
    </row>
    <row customHeight="1" ht="11.25">
      <c r="A35" s="71" t="s">
        <v>3517</v>
      </c>
      <c r="B35" s="71" t="s">
        <v>3518</v>
      </c>
    </row>
    <row customHeight="1" ht="11.25">
      <c r="A36" s="71" t="s">
        <v>3519</v>
      </c>
      <c r="B36" s="71" t="s">
        <v>3520</v>
      </c>
    </row>
    <row customHeight="1" ht="11.25">
      <c r="A37" s="71" t="s">
        <v>3521</v>
      </c>
      <c r="B37" s="71" t="s">
        <v>3522</v>
      </c>
    </row>
    <row customHeight="1" ht="11.25">
      <c r="A38" s="71" t="s">
        <v>3523</v>
      </c>
      <c r="B38" s="71" t="s">
        <v>3524</v>
      </c>
    </row>
    <row customHeight="1" ht="11.25">
      <c r="A39" s="71" t="s">
        <v>3525</v>
      </c>
      <c r="B39" s="71" t="s">
        <v>3526</v>
      </c>
    </row>
    <row customHeight="1" ht="11.25">
      <c r="A40" s="71" t="s">
        <v>3527</v>
      </c>
      <c r="B40" s="71" t="s">
        <v>3528</v>
      </c>
    </row>
    <row customHeight="1" ht="11.25">
      <c r="A41" s="71" t="s">
        <v>3529</v>
      </c>
      <c r="B41" s="71" t="s">
        <v>3530</v>
      </c>
    </row>
    <row customHeight="1" ht="11.25">
      <c r="A42" s="71" t="s">
        <v>3531</v>
      </c>
      <c r="B42" s="71" t="s">
        <v>3532</v>
      </c>
    </row>
    <row customHeight="1" ht="11.25">
      <c r="A43" s="71" t="s">
        <v>3533</v>
      </c>
      <c r="B43" s="71" t="s">
        <v>3534</v>
      </c>
    </row>
    <row customHeight="1" ht="11.25">
      <c r="A44" s="71" t="s">
        <v>3535</v>
      </c>
      <c r="B44" s="71" t="s">
        <v>3536</v>
      </c>
    </row>
    <row customHeight="1" ht="11.25">
      <c r="A45" s="71" t="s">
        <v>3537</v>
      </c>
      <c r="B45" s="71" t="s">
        <v>3538</v>
      </c>
    </row>
    <row customHeight="1" ht="11.25">
      <c r="A46" s="71" t="s">
        <v>3539</v>
      </c>
      <c r="B46" s="71" t="s">
        <v>3540</v>
      </c>
    </row>
    <row customHeight="1" ht="11.25">
      <c r="A47" s="71" t="s">
        <v>3541</v>
      </c>
      <c r="B47" s="71" t="s">
        <v>3542</v>
      </c>
    </row>
    <row customHeight="1" ht="11.25">
      <c r="A48" s="71" t="s">
        <v>3543</v>
      </c>
      <c r="B48" s="71" t="s">
        <v>3544</v>
      </c>
    </row>
    <row customHeight="1" ht="11.25">
      <c r="A49" s="71" t="s">
        <v>3545</v>
      </c>
      <c r="B49" s="71" t="s">
        <v>3546</v>
      </c>
    </row>
    <row customHeight="1" ht="11.25">
      <c r="A50" s="71" t="s">
        <v>3547</v>
      </c>
      <c r="B50" s="71" t="s">
        <v>3548</v>
      </c>
    </row>
    <row customHeight="1" ht="11.25">
      <c r="A51" s="71" t="s">
        <v>3549</v>
      </c>
      <c r="B51" s="71" t="s">
        <v>3550</v>
      </c>
    </row>
    <row customHeight="1" ht="11.25">
      <c r="A52" s="71" t="s">
        <v>3551</v>
      </c>
      <c r="B52" s="71" t="s">
        <v>3552</v>
      </c>
    </row>
    <row customHeight="1" ht="11.25">
      <c r="A53" s="71" t="s">
        <v>3553</v>
      </c>
      <c r="B53" s="71" t="s">
        <v>3554</v>
      </c>
    </row>
    <row customHeight="1" ht="11.25">
      <c r="A54" s="71" t="s">
        <v>3555</v>
      </c>
      <c r="B54" s="71" t="s">
        <v>3556</v>
      </c>
    </row>
    <row customHeight="1" ht="11.25">
      <c r="A55" s="71" t="s">
        <v>3557</v>
      </c>
      <c r="B55" s="71" t="s">
        <v>3558</v>
      </c>
    </row>
    <row customHeight="1" ht="11.25">
      <c r="A56" s="71" t="s">
        <v>3559</v>
      </c>
      <c r="B56" s="71" t="s">
        <v>3560</v>
      </c>
    </row>
    <row customHeight="1" ht="11.25">
      <c r="A57" s="71" t="s">
        <v>3561</v>
      </c>
      <c r="B57" s="71" t="s">
        <v>3562</v>
      </c>
    </row>
    <row customHeight="1" ht="11.25">
      <c r="A58" s="71" t="s">
        <v>3563</v>
      </c>
      <c r="B58" s="71" t="s">
        <v>3564</v>
      </c>
    </row>
    <row customHeight="1" ht="11.25">
      <c r="A59" s="71" t="s">
        <v>3565</v>
      </c>
      <c r="B59" s="71" t="s">
        <v>3566</v>
      </c>
    </row>
    <row customHeight="1" ht="11.25">
      <c r="A60" s="71" t="s">
        <v>3567</v>
      </c>
      <c r="B60" s="71" t="s">
        <v>3568</v>
      </c>
    </row>
    <row customHeight="1" ht="11.25">
      <c r="A61" s="71"/>
      <c r="B61" s="71" t="s">
        <v>3569</v>
      </c>
    </row>
    <row customHeight="1" ht="11.25">
      <c r="A62" s="71"/>
      <c r="B62" s="71" t="s">
        <v>3570</v>
      </c>
    </row>
    <row customHeight="1" ht="11.25">
      <c r="A63" s="71"/>
      <c r="B63" s="71" t="s">
        <v>3571</v>
      </c>
    </row>
    <row customHeight="1" ht="11.25">
      <c r="A64" s="71"/>
      <c r="B64" s="71" t="s">
        <v>3572</v>
      </c>
    </row>
    <row customHeight="1" ht="11.25">
      <c r="A65" s="71"/>
      <c r="B65" s="71" t="s">
        <v>3573</v>
      </c>
    </row>
    <row customHeight="1" ht="11.25">
      <c r="A66" s="71"/>
      <c r="B66" s="71" t="s">
        <v>3574</v>
      </c>
    </row>
    <row customHeight="1" ht="11.25">
      <c r="A67" s="71"/>
      <c r="B67" s="71" t="s">
        <v>3575</v>
      </c>
    </row>
    <row customHeight="1" ht="11.25">
      <c r="A68" s="71"/>
      <c r="B68" s="71" t="s">
        <v>3576</v>
      </c>
    </row>
    <row customHeight="1" ht="11.25">
      <c r="A69" s="71"/>
      <c r="B69" s="71" t="s">
        <v>3577</v>
      </c>
    </row>
    <row customHeight="1" ht="11.25">
      <c r="A70" s="71"/>
      <c r="B70" s="71" t="s">
        <v>3578</v>
      </c>
    </row>
    <row customHeight="1" ht="11.25">
      <c r="A71" s="71"/>
      <c r="B71" s="71"/>
    </row>
    <row customHeight="1" ht="11.25">
      <c r="A72" s="71"/>
      <c r="B72" s="71"/>
    </row>
    <row customHeight="1" ht="11.25">
      <c r="A73" s="71"/>
      <c r="B73" s="71"/>
    </row>
    <row customHeight="1" ht="11.25">
      <c r="A74" s="71"/>
      <c r="B74" s="71"/>
    </row>
    <row customHeight="1" ht="11.25">
      <c r="A75" s="71"/>
      <c r="B75" s="71"/>
    </row>
    <row customHeight="1" ht="11.25">
      <c r="A76" s="71"/>
      <c r="B76" s="71"/>
    </row>
    <row customHeight="1" ht="11.25">
      <c r="A77" s="71"/>
      <c r="B77" s="71"/>
    </row>
    <row customHeight="1" ht="11.25">
      <c r="A78" s="71"/>
      <c r="B78" s="71"/>
    </row>
    <row customHeight="1" ht="11.25">
      <c r="A79" s="71"/>
      <c r="B79" s="71"/>
    </row>
    <row customHeight="1" ht="11.25">
      <c r="A80" s="71"/>
      <c r="B80" s="71"/>
    </row>
    <row customHeight="1" ht="11.25">
      <c r="A81" s="71"/>
      <c r="B81" s="71"/>
    </row>
    <row customHeight="1" ht="11.25">
      <c r="A82" s="71"/>
      <c r="B82" s="71"/>
    </row>
    <row customHeight="1" ht="11.25">
      <c r="A83" s="71"/>
      <c r="B83" s="71"/>
    </row>
    <row customHeight="1" ht="11.25">
      <c r="A84" s="71"/>
      <c r="B84" s="71"/>
    </row>
    <row customHeight="1" ht="11.25">
      <c r="A85" s="71"/>
      <c r="B85" s="71"/>
    </row>
    <row customHeight="1" ht="11.25">
      <c r="A86" s="71"/>
      <c r="B86" s="71"/>
    </row>
    <row customHeight="1" ht="11.25">
      <c r="A87" s="71"/>
      <c r="B87" s="71"/>
    </row>
    <row customHeight="1" ht="11.25">
      <c r="A88" s="71"/>
      <c r="B88" s="71"/>
    </row>
    <row customHeight="1" ht="11.25">
      <c r="A89" s="71"/>
      <c r="B89" s="71"/>
    </row>
    <row customHeight="1" ht="11.25">
      <c r="A90" s="71"/>
      <c r="B90" s="71"/>
    </row>
    <row customHeight="1" ht="11.25">
      <c r="A91" s="71"/>
      <c r="B91" s="71"/>
    </row>
    <row customHeight="1" ht="11.25">
      <c r="A92" s="71"/>
      <c r="B92" s="71"/>
    </row>
    <row customHeight="1" ht="11.25">
      <c r="A93" s="71"/>
      <c r="B93" s="71"/>
    </row>
    <row customHeight="1" ht="11.25">
      <c r="A94" s="71"/>
      <c r="B94" s="71"/>
    </row>
    <row customHeight="1" ht="11.25">
      <c r="A95" s="71"/>
      <c r="B95" s="71"/>
    </row>
    <row customHeight="1" ht="11.25">
      <c r="A96" s="71"/>
      <c r="B96" s="71"/>
    </row>
    <row customHeight="1" ht="11.25">
      <c r="A97" s="71"/>
      <c r="B97" s="71"/>
    </row>
    <row customHeight="1" ht="11.25">
      <c r="A98" s="71"/>
      <c r="B98" s="71"/>
    </row>
    <row customHeight="1" ht="11.25">
      <c r="A99" s="71"/>
      <c r="B99" s="71"/>
    </row>
    <row customHeight="1" ht="11.25">
      <c r="A100" s="71"/>
      <c r="B100" s="71"/>
    </row>
    <row customHeight="1" ht="11.25">
      <c r="A101" s="71"/>
      <c r="B101" s="71"/>
    </row>
    <row customHeight="1" ht="11.25">
      <c r="A102" s="71"/>
      <c r="B102" s="71"/>
    </row>
    <row customHeight="1" ht="11.25">
      <c r="A103" s="71"/>
      <c r="B103" s="71"/>
    </row>
    <row customHeight="1" ht="11.25">
      <c r="A104" s="71"/>
      <c r="B104" s="71"/>
    </row>
    <row customHeight="1" ht="11.25">
      <c r="A105" s="71"/>
      <c r="B105" s="71"/>
    </row>
    <row customHeight="1" ht="11.25">
      <c r="A106" s="71"/>
      <c r="B106" s="71"/>
    </row>
    <row customHeight="1" ht="11.25">
      <c r="A107" s="71"/>
      <c r="B107" s="71"/>
    </row>
    <row customHeight="1" ht="11.25">
      <c r="A108" s="71"/>
      <c r="B108" s="71"/>
    </row>
    <row customHeight="1" ht="11.25">
      <c r="A109" s="71"/>
      <c r="B109" s="71"/>
    </row>
    <row customHeight="1" ht="11.25">
      <c r="A110" s="71"/>
      <c r="B110" s="71"/>
    </row>
    <row customHeight="1" ht="11.25">
      <c r="A111" s="71"/>
      <c r="B111" s="71"/>
    </row>
    <row customHeight="1" ht="11.25">
      <c r="A112" s="71"/>
      <c r="B112" s="71"/>
    </row>
    <row customHeight="1" ht="11.25">
      <c r="A113" s="71"/>
      <c r="B113" s="71"/>
    </row>
    <row customHeight="1" ht="11.25">
      <c r="A114" s="71"/>
      <c r="B114" s="71"/>
    </row>
    <row customHeight="1" ht="11.25">
      <c r="A115" s="71"/>
      <c r="B115" s="71"/>
    </row>
    <row customHeight="1" ht="11.25">
      <c r="A116" s="71"/>
      <c r="B116" s="71"/>
    </row>
    <row customHeight="1" ht="11.25">
      <c r="A117" s="71"/>
      <c r="B117" s="71"/>
    </row>
    <row customHeight="1" ht="11.25">
      <c r="A118" s="71"/>
      <c r="B118" s="71"/>
    </row>
    <row customHeight="1" ht="11.25">
      <c r="A119" s="71"/>
      <c r="B119" s="71"/>
    </row>
    <row customHeight="1" ht="11.25">
      <c r="A120" s="71"/>
      <c r="B120" s="71"/>
    </row>
    <row customHeight="1" ht="11.25">
      <c r="A121" s="71"/>
      <c r="B121" s="71"/>
    </row>
    <row customHeight="1" ht="11.25">
      <c r="A122" s="71"/>
      <c r="B122" s="71"/>
    </row>
    <row customHeight="1" ht="11.25">
      <c r="A123" s="71"/>
      <c r="B123" s="71"/>
    </row>
    <row customHeight="1" ht="11.25">
      <c r="A124" s="71"/>
      <c r="B124" s="71"/>
    </row>
    <row customHeight="1" ht="11.25">
      <c r="A125" s="71"/>
      <c r="B125" s="71"/>
    </row>
    <row customHeight="1" ht="11.25">
      <c r="A126" s="71"/>
      <c r="B126" s="71"/>
    </row>
    <row customHeight="1" ht="11.25">
      <c r="A127" s="71"/>
      <c r="B127" s="71"/>
    </row>
    <row customHeight="1" ht="11.25">
      <c r="A128" s="71"/>
      <c r="B128" s="71"/>
    </row>
    <row customHeight="1" ht="11.25">
      <c r="A129" s="71"/>
      <c r="B129" s="71"/>
    </row>
    <row customHeight="1" ht="11.25">
      <c r="A130" s="71"/>
      <c r="B130" s="71"/>
    </row>
    <row customHeight="1" ht="11.25">
      <c r="A131" s="71"/>
      <c r="B131" s="71"/>
    </row>
    <row customHeight="1" ht="11.25">
      <c r="A132" s="71"/>
      <c r="B132" s="71"/>
    </row>
    <row customHeight="1" ht="11.25">
      <c r="A133" s="71"/>
      <c r="B133" s="71"/>
    </row>
    <row customHeight="1" ht="11.25">
      <c r="A134" s="71"/>
      <c r="B134" s="71"/>
    </row>
    <row customHeight="1" ht="11.25">
      <c r="A135" s="71"/>
      <c r="B135" s="71"/>
    </row>
    <row customHeight="1" ht="11.25">
      <c r="A136" s="71"/>
      <c r="B136" s="71"/>
    </row>
    <row customHeight="1" ht="11.25">
      <c r="A137" s="71"/>
      <c r="B137" s="71"/>
    </row>
    <row customHeight="1" ht="11.25">
      <c r="A138" s="71"/>
      <c r="B138" s="71"/>
    </row>
    <row customHeight="1" ht="11.25">
      <c r="A139" s="71"/>
      <c r="B139" s="71"/>
    </row>
    <row customHeight="1" ht="11.25">
      <c r="A140" s="71"/>
      <c r="B140" s="71"/>
    </row>
    <row customHeight="1" ht="11.25">
      <c r="A141" s="71"/>
      <c r="B141" s="71"/>
    </row>
    <row customHeight="1" ht="11.25">
      <c r="A142" s="71"/>
      <c r="B142" s="71"/>
    </row>
    <row customHeight="1" ht="11.25">
      <c r="A143" s="71"/>
      <c r="B143" s="71"/>
    </row>
    <row customHeight="1" ht="11.25">
      <c r="A144" s="71"/>
      <c r="B144" s="71"/>
    </row>
    <row customHeight="1" ht="11.25">
      <c r="A145" s="71"/>
      <c r="B145" s="71"/>
    </row>
    <row customHeight="1" ht="11.25">
      <c r="A146" s="71"/>
      <c r="B146" s="71"/>
    </row>
    <row customHeight="1" ht="11.25">
      <c r="A147" s="71"/>
      <c r="B147" s="71"/>
    </row>
    <row customHeight="1" ht="11.25">
      <c r="A148" s="71"/>
      <c r="B148" s="71"/>
    </row>
    <row customHeight="1" ht="11.25">
      <c r="A149" s="71"/>
      <c r="B149" s="71"/>
    </row>
    <row customHeight="1" ht="11.25">
      <c r="A150" s="71"/>
      <c r="B150" s="71"/>
    </row>
    <row customHeight="1" ht="11.25">
      <c r="A151" s="71"/>
      <c r="B151" s="71"/>
    </row>
    <row customHeight="1" ht="11.25">
      <c r="A152" s="71"/>
      <c r="B152" s="71"/>
    </row>
    <row customHeight="1" ht="11.25">
      <c r="A153" s="71"/>
      <c r="B153" s="71"/>
    </row>
    <row customHeight="1" ht="11.25">
      <c r="A154" s="71"/>
      <c r="B154" s="71"/>
    </row>
    <row customHeight="1" ht="11.25">
      <c r="A155" s="71"/>
      <c r="B155" s="71"/>
    </row>
    <row customHeight="1" ht="11.25">
      <c r="A156" s="71"/>
      <c r="B156" s="71"/>
    </row>
    <row customHeight="1" ht="11.25">
      <c r="A157" s="71"/>
      <c r="B157" s="71"/>
    </row>
    <row customHeight="1" ht="11.25">
      <c r="A158" s="71"/>
      <c r="B158" s="71"/>
    </row>
    <row customHeight="1" ht="11.25">
      <c r="A159" s="71"/>
      <c r="B159" s="71"/>
    </row>
    <row customHeight="1" ht="11.25">
      <c r="A160" s="71"/>
      <c r="B160" s="71"/>
    </row>
    <row customHeight="1" ht="11.25">
      <c r="A161" s="71"/>
      <c r="B161" s="71"/>
    </row>
    <row customHeight="1" ht="11.25">
      <c r="A162" s="71"/>
      <c r="B162" s="71"/>
    </row>
    <row customHeight="1" ht="11.25">
      <c r="A163" s="71"/>
      <c r="B163" s="71"/>
    </row>
    <row customHeight="1" ht="11.25">
      <c r="A164" s="71"/>
      <c r="B164" s="71"/>
    </row>
    <row customHeight="1" ht="11.25">
      <c r="A165" s="71"/>
      <c r="B165" s="71"/>
    </row>
    <row customHeight="1" ht="11.25">
      <c r="A166" s="71"/>
      <c r="B166" s="71"/>
    </row>
    <row customHeight="1" ht="11.25">
      <c r="A167" s="71"/>
      <c r="B167" s="71"/>
    </row>
    <row customHeight="1" ht="11.25">
      <c r="A168" s="71"/>
      <c r="B168" s="71"/>
    </row>
    <row customHeight="1" ht="11.25">
      <c r="A169" s="71"/>
      <c r="B169" s="71"/>
    </row>
    <row customHeight="1" ht="11.25">
      <c r="A170" s="71"/>
      <c r="B170" s="71"/>
    </row>
    <row customHeight="1" ht="11.25">
      <c r="A171" s="71"/>
      <c r="B171" s="71"/>
    </row>
    <row customHeight="1" ht="11.25">
      <c r="A172" s="71"/>
      <c r="B172" s="71"/>
    </row>
    <row customHeight="1" ht="11.25">
      <c r="A173" s="71"/>
      <c r="B173" s="71"/>
    </row>
    <row customHeight="1" ht="11.25">
      <c r="A174" s="71"/>
      <c r="B174" s="71"/>
    </row>
    <row customHeight="1" ht="11.25">
      <c r="A175" s="71"/>
      <c r="B175" s="71"/>
    </row>
    <row customHeight="1" ht="11.25">
      <c r="A176" s="71"/>
      <c r="B176" s="71"/>
    </row>
    <row customHeight="1" ht="11.25">
      <c r="A177" s="71"/>
      <c r="B177" s="71"/>
    </row>
    <row customHeight="1" ht="11.25">
      <c r="A178" s="71"/>
      <c r="B178" s="71"/>
    </row>
    <row customHeight="1" ht="11.25">
      <c r="A179" s="71"/>
      <c r="B179" s="71"/>
    </row>
    <row customHeight="1" ht="11.25">
      <c r="A180" s="71"/>
      <c r="B180" s="71"/>
    </row>
    <row customHeight="1" ht="11.25">
      <c r="A181" s="71"/>
      <c r="B181" s="71"/>
    </row>
    <row customHeight="1" ht="11.25">
      <c r="A182" s="71"/>
      <c r="B182" s="71"/>
    </row>
    <row customHeight="1" ht="11.25">
      <c r="A183" s="71"/>
      <c r="B183" s="71"/>
    </row>
    <row customHeight="1" ht="11.25">
      <c r="A184" s="71"/>
      <c r="B184" s="71"/>
    </row>
    <row customHeight="1" ht="11.25">
      <c r="A185" s="71"/>
      <c r="B185" s="71"/>
    </row>
    <row customHeight="1" ht="11.25">
      <c r="A186" s="71"/>
      <c r="B186" s="71"/>
    </row>
    <row customHeight="1" ht="11.25">
      <c r="A187" s="71"/>
      <c r="B187" s="71"/>
    </row>
    <row customHeight="1" ht="11.25">
      <c r="A188" s="71"/>
      <c r="B188" s="71"/>
    </row>
    <row customHeight="1" ht="11.25">
      <c r="A189" s="71"/>
      <c r="B189" s="71"/>
    </row>
    <row customHeight="1" ht="11.25">
      <c r="A190" s="71"/>
      <c r="B190" s="71"/>
    </row>
    <row customHeight="1" ht="11.25">
      <c r="A191" s="71"/>
      <c r="B191" s="71"/>
    </row>
    <row customHeight="1" ht="11.25">
      <c r="A192" s="71"/>
      <c r="B192" s="71"/>
    </row>
    <row customHeight="1" ht="11.25">
      <c r="A193" s="71"/>
      <c r="B193" s="71"/>
    </row>
    <row customHeight="1" ht="11.25">
      <c r="A194" s="71"/>
      <c r="B194" s="71"/>
    </row>
    <row customHeight="1" ht="11.25">
      <c r="A195" s="71"/>
      <c r="B195" s="71"/>
    </row>
    <row customHeight="1" ht="11.25">
      <c r="A196" s="71"/>
      <c r="B196" s="71"/>
    </row>
    <row customHeight="1" ht="11.25">
      <c r="A197" s="71"/>
      <c r="B197" s="71"/>
    </row>
    <row customHeight="1" ht="11.25">
      <c r="A198" s="71"/>
      <c r="B198" s="71"/>
    </row>
    <row customHeight="1" ht="11.25">
      <c r="A199" s="71"/>
      <c r="B199" s="71"/>
    </row>
    <row customHeight="1" ht="11.25">
      <c r="A200" s="71"/>
      <c r="B200" s="71"/>
    </row>
    <row customHeight="1" ht="11.25">
      <c r="A201" s="71"/>
      <c r="B201" s="71"/>
    </row>
    <row customHeight="1" ht="11.25">
      <c r="A202" s="71"/>
      <c r="B202" s="71"/>
    </row>
    <row customHeight="1" ht="11.25">
      <c r="A203" s="71"/>
      <c r="B203" s="71"/>
    </row>
    <row customHeight="1" ht="11.25">
      <c r="A204" s="71"/>
      <c r="B204" s="71"/>
    </row>
    <row customHeight="1" ht="11.25">
      <c r="A205" s="71"/>
      <c r="B205" s="71"/>
    </row>
    <row customHeight="1" ht="11.25">
      <c r="A206" s="71"/>
      <c r="B206" s="71"/>
    </row>
    <row customHeight="1" ht="11.25">
      <c r="A207" s="71"/>
      <c r="B207" s="71"/>
    </row>
    <row customHeight="1" ht="11.25">
      <c r="A208" s="71"/>
      <c r="B208" s="71"/>
    </row>
    <row customHeight="1" ht="11.25">
      <c r="A209" s="71"/>
      <c r="B209" s="71"/>
    </row>
    <row customHeight="1" ht="11.25">
      <c r="A210" s="71"/>
      <c r="B210" s="71"/>
    </row>
    <row customHeight="1" ht="11.25">
      <c r="A211" s="71"/>
      <c r="B211" s="71"/>
    </row>
    <row customHeight="1" ht="11.25">
      <c r="A212" s="71"/>
      <c r="B212" s="71"/>
    </row>
    <row customHeight="1" ht="11.25">
      <c r="A213" s="71"/>
      <c r="B213" s="71"/>
    </row>
    <row customHeight="1" ht="11.25">
      <c r="A214" s="71"/>
      <c r="B214" s="71"/>
    </row>
    <row customHeight="1" ht="11.25">
      <c r="A215" s="71"/>
      <c r="B215" s="71"/>
    </row>
    <row customHeight="1" ht="11.25">
      <c r="A216" s="71"/>
      <c r="B216" s="71"/>
    </row>
    <row customHeight="1" ht="11.25">
      <c r="A217" s="71"/>
      <c r="B217" s="71"/>
    </row>
    <row customHeight="1" ht="11.25">
      <c r="A218" s="71"/>
      <c r="B218" s="71"/>
    </row>
    <row customHeight="1" ht="11.25">
      <c r="A219" s="71"/>
      <c r="B219" s="71"/>
    </row>
    <row customHeight="1" ht="11.25">
      <c r="A220" s="71"/>
      <c r="B220" s="71"/>
    </row>
    <row customHeight="1" ht="11.25">
      <c r="A221" s="71"/>
      <c r="B221" s="71"/>
    </row>
    <row customHeight="1" ht="11.25">
      <c r="A222" s="71"/>
      <c r="B222" s="71"/>
    </row>
    <row customHeight="1" ht="11.25">
      <c r="A223" s="71"/>
      <c r="B223" s="71"/>
    </row>
    <row customHeight="1" ht="11.25">
      <c r="A224" s="71"/>
      <c r="B224" s="71"/>
    </row>
    <row customHeight="1" ht="11.25">
      <c r="A225" s="71"/>
      <c r="B225" s="71"/>
    </row>
    <row customHeight="1" ht="11.25">
      <c r="A226" s="71"/>
      <c r="B226" s="71"/>
    </row>
    <row customHeight="1" ht="11.25">
      <c r="A227" s="71"/>
      <c r="B227" s="71"/>
    </row>
    <row customHeight="1" ht="11.25">
      <c r="A228" s="71"/>
      <c r="B228" s="71"/>
    </row>
    <row customHeight="1" ht="11.25">
      <c r="A229" s="71"/>
      <c r="B229" s="71"/>
    </row>
    <row customHeight="1" ht="11.25">
      <c r="A230" s="71"/>
      <c r="B230" s="71"/>
    </row>
    <row customHeight="1" ht="11.25">
      <c r="A231" s="71"/>
      <c r="B231" s="71"/>
    </row>
    <row customHeight="1" ht="11.25">
      <c r="A232" s="71"/>
      <c r="B232" s="71"/>
    </row>
    <row customHeight="1" ht="11.25">
      <c r="A233" s="71"/>
      <c r="B233" s="71"/>
    </row>
    <row customHeight="1" ht="11.25">
      <c r="A234" s="71"/>
      <c r="B234" s="71"/>
    </row>
    <row customHeight="1" ht="11.25">
      <c r="A235" s="71"/>
      <c r="B235" s="71"/>
    </row>
    <row customHeight="1" ht="11.25">
      <c r="A236" s="71"/>
      <c r="B236" s="71"/>
    </row>
    <row customHeight="1" ht="11.25">
      <c r="A237" s="71"/>
      <c r="B237" s="71"/>
    </row>
    <row customHeight="1" ht="11.25">
      <c r="A238" s="71"/>
      <c r="B238" s="71"/>
    </row>
    <row customHeight="1" ht="11.25">
      <c r="A239" s="71"/>
      <c r="B239" s="71"/>
    </row>
    <row customHeight="1" ht="11.25">
      <c r="A240" s="71"/>
      <c r="B240" s="71"/>
    </row>
    <row customHeight="1" ht="11.25">
      <c r="A241" s="71"/>
      <c r="B241" s="71"/>
    </row>
    <row customHeight="1" ht="11.25">
      <c r="A242" s="71"/>
      <c r="B242" s="71"/>
    </row>
    <row customHeight="1" ht="11.25">
      <c r="A243" s="71"/>
      <c r="B243" s="71"/>
    </row>
    <row customHeight="1" ht="11.25">
      <c r="A244" s="71"/>
      <c r="B244" s="71"/>
    </row>
    <row customHeight="1" ht="11.25">
      <c r="A245" s="71"/>
      <c r="B245" s="71"/>
    </row>
    <row customHeight="1" ht="11.25">
      <c r="A246" s="71"/>
      <c r="B246" s="71"/>
    </row>
    <row customHeight="1" ht="11.25">
      <c r="A247" s="71"/>
      <c r="B247" s="71"/>
    </row>
    <row customHeight="1" ht="11.25">
      <c r="A248" s="71"/>
      <c r="B248" s="71"/>
    </row>
    <row customHeight="1" ht="11.25">
      <c r="A249" s="71"/>
      <c r="B249" s="71"/>
    </row>
    <row customHeight="1" ht="11.25">
      <c r="A250" s="71"/>
      <c r="B250" s="71"/>
    </row>
    <row customHeight="1" ht="11.25">
      <c r="A251" s="71"/>
      <c r="B251" s="71"/>
    </row>
    <row customHeight="1" ht="11.25">
      <c r="A252" s="71"/>
      <c r="B252" s="71"/>
    </row>
    <row customHeight="1" ht="11.25">
      <c r="A253" s="71"/>
      <c r="B253" s="71"/>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53404B-54B8-26E9-1AE7-887F91F9EB55}"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7" width="3.7109375" customWidth="1"/>
    <col min="2" max="2" style="1857" width="90.7109375" customWidth="1"/>
    <col min="3" max="4" style="1857" width="9.140625"/>
  </cols>
  <sheetData>
    <row customHeight="1" ht="11.25">
      <c r="B1" s="100" t="s">
        <v>3579</v>
      </c>
    </row>
    <row customHeight="1" ht="90">
      <c r="B2" s="101" t="s">
        <v>3580</v>
      </c>
    </row>
    <row customHeight="1" ht="67.5">
      <c r="B3" s="101" t="s">
        <v>3581</v>
      </c>
    </row>
    <row customHeight="1" ht="33.75">
      <c r="B4" s="101" t="s">
        <v>3582</v>
      </c>
    </row>
    <row customHeight="1" ht="11.25">
      <c r="B5" s="101" t="s">
        <v>3583</v>
      </c>
    </row>
    <row customHeight="1" ht="22.5">
      <c r="B6" s="101" t="s">
        <v>3584</v>
      </c>
    </row>
    <row customHeight="1" ht="22.5">
      <c r="B7" s="101" t="s">
        <v>3585</v>
      </c>
    </row>
    <row customHeight="1" ht="22.5">
      <c r="B8" s="101" t="s">
        <v>3586</v>
      </c>
    </row>
    <row customHeight="1" ht="22.5">
      <c r="B9" s="101" t="s">
        <v>3587</v>
      </c>
    </row>
    <row customHeight="1" ht="56.25">
      <c r="B10" s="101" t="s">
        <v>3588</v>
      </c>
    </row>
    <row customHeight="1" ht="12.75">
      <c r="B11" s="166" t="s">
        <v>3589</v>
      </c>
    </row>
    <row customHeight="1" ht="11.25">
      <c r="B12" s="100" t="s">
        <v>3590</v>
      </c>
    </row>
    <row customHeight="1" ht="22.5">
      <c r="B13" s="101" t="s">
        <v>3591</v>
      </c>
    </row>
    <row customHeight="1" ht="67.5">
      <c r="B14" s="101" t="s">
        <v>3592</v>
      </c>
    </row>
    <row customHeight="1" ht="22.5">
      <c r="B15" s="101" t="s">
        <v>3593</v>
      </c>
    </row>
    <row customHeight="1" ht="11.25">
      <c r="B16" s="100" t="s">
        <v>3594</v>
      </c>
      <c r="D16" s="107"/>
    </row>
    <row customHeight="1" ht="33.75">
      <c r="B17" s="101" t="s">
        <v>3595</v>
      </c>
    </row>
    <row customHeight="1" ht="33.75">
      <c r="B18" s="101" t="s">
        <v>3596</v>
      </c>
    </row>
    <row customHeight="1" ht="11.25">
      <c r="B19" s="101" t="s">
        <v>3597</v>
      </c>
    </row>
    <row customHeight="1" ht="33.75">
      <c r="B20" s="101" t="s">
        <v>3598</v>
      </c>
    </row>
    <row customHeight="1" ht="11.25">
      <c r="B21" s="100" t="s">
        <v>3599</v>
      </c>
    </row>
    <row customHeight="1" ht="11.25">
      <c r="B22" s="101" t="s">
        <v>3600</v>
      </c>
    </row>
    <row r="24" customHeight="1" ht="22.5">
      <c r="B24" s="168" t="s">
        <v>3601</v>
      </c>
    </row>
    <row r="26" customHeight="1" ht="11.25">
      <c r="B26" s="100" t="s">
        <v>3602</v>
      </c>
    </row>
    <row customHeight="1" ht="22.5">
      <c r="B27" s="167" t="s">
        <v>559</v>
      </c>
    </row>
    <row customHeight="1" ht="56.25">
      <c r="B28" s="167" t="s">
        <v>3603</v>
      </c>
    </row>
    <row customHeight="1" ht="11.25">
      <c r="B29" s="217" t="s">
        <v>3604</v>
      </c>
    </row>
    <row customHeight="1" ht="22.5">
      <c r="B30" s="167" t="s">
        <v>3605</v>
      </c>
    </row>
    <row r="32" customHeight="1" ht="11.25">
      <c r="A32" s="195"/>
      <c r="B32" s="196" t="s">
        <v>3606</v>
      </c>
    </row>
    <row customHeight="1" ht="14.25">
      <c r="A33" s="197">
        <v>1</v>
      </c>
      <c r="B33" s="198" t="s">
        <v>3607</v>
      </c>
    </row>
    <row customHeight="1" ht="14.25">
      <c r="A34" s="197">
        <v>2</v>
      </c>
      <c r="B34" s="198" t="s">
        <v>3608</v>
      </c>
    </row>
    <row customHeight="1" ht="11.25">
      <c r="B35" s="196" t="s">
        <v>3609</v>
      </c>
    </row>
    <row customHeight="1" ht="11.25">
      <c r="B36" s="198" t="s">
        <v>3610</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